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mCanfield/Documents/   Book  Blogs/   Blogs Published/01 26/0123 2025 tax return/"/>
    </mc:Choice>
  </mc:AlternateContent>
  <xr:revisionPtr revIDLastSave="0" documentId="13_ncr:1_{AB037D13-9C3E-5343-B5AE-3741B6C69AB5}" xr6:coauthVersionLast="47" xr6:coauthVersionMax="47" xr10:uidLastSave="{00000000-0000-0000-0000-000000000000}"/>
  <bookViews>
    <workbookView xWindow="22780" yWindow="1460" windowWidth="26200" windowHeight="22860" xr2:uid="{B08B20F7-9509-5448-A43E-3DB155DEA2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29" i="1"/>
  <c r="J43" i="1" l="1"/>
  <c r="L46" i="1"/>
  <c r="J39" i="1"/>
  <c r="K38" i="1"/>
  <c r="J38" i="1"/>
  <c r="K37" i="1"/>
  <c r="K36" i="1"/>
  <c r="K35" i="1"/>
  <c r="K34" i="1"/>
  <c r="K33" i="1"/>
  <c r="L33" i="1" s="1"/>
  <c r="J21" i="1"/>
  <c r="J44" i="1" l="1"/>
  <c r="J45" i="1" s="1"/>
  <c r="L34" i="1"/>
  <c r="L35" i="1" s="1"/>
  <c r="L36" i="1" s="1"/>
  <c r="L37" i="1" s="1"/>
  <c r="L38" i="1" s="1"/>
  <c r="J47" i="1" l="1"/>
  <c r="J48" i="1" s="1"/>
  <c r="L48" i="1" s="1"/>
  <c r="D8" i="1"/>
  <c r="D7" i="1"/>
  <c r="L47" i="1" l="1"/>
  <c r="L49" i="1" s="1"/>
  <c r="L50" i="1"/>
  <c r="L51" i="1" l="1"/>
  <c r="J8" i="1"/>
  <c r="J11" i="1" s="1"/>
  <c r="J13" i="1" s="1"/>
  <c r="L13" i="1" s="1"/>
  <c r="J25" i="1" s="1"/>
  <c r="J16" i="1" l="1"/>
  <c r="J17" i="1" s="1"/>
  <c r="J18" i="1" s="1"/>
  <c r="J20" i="1" s="1"/>
  <c r="J24" i="1" l="1"/>
  <c r="J33" i="1"/>
  <c r="J34" i="1"/>
  <c r="J35" i="1"/>
  <c r="J37" i="1"/>
  <c r="J36" i="1"/>
  <c r="J40" i="1" l="1"/>
  <c r="J23" i="1" s="1"/>
  <c r="J26" i="1" s="1"/>
  <c r="J30" i="1" s="1"/>
</calcChain>
</file>

<file path=xl/sharedStrings.xml><?xml version="1.0" encoding="utf-8"?>
<sst xmlns="http://schemas.openxmlformats.org/spreadsheetml/2006/main" count="79" uniqueCount="71">
  <si>
    <t>2b</t>
  </si>
  <si>
    <t>3a</t>
  </si>
  <si>
    <t>3b</t>
  </si>
  <si>
    <t>Qualified Dividends</t>
  </si>
  <si>
    <t>4a</t>
  </si>
  <si>
    <t>IRA Distributions</t>
  </si>
  <si>
    <t>5b</t>
  </si>
  <si>
    <t>4b</t>
  </si>
  <si>
    <t>6a</t>
  </si>
  <si>
    <t>2a</t>
  </si>
  <si>
    <t>Tax-exempt interest</t>
  </si>
  <si>
    <t>b Taxable interest</t>
  </si>
  <si>
    <t>5a</t>
  </si>
  <si>
    <t>Pensions and Annuties</t>
  </si>
  <si>
    <t>b Ordinary dividends</t>
  </si>
  <si>
    <t>b Taxable amount</t>
  </si>
  <si>
    <t>Social Security Benefits</t>
  </si>
  <si>
    <t>6b</t>
  </si>
  <si>
    <t>Capital Gain or Loss (ST + LT)</t>
  </si>
  <si>
    <t>Adjustments to Income Sched 1, line 26</t>
  </si>
  <si>
    <t>Add'l Income, Sched 1, line 10</t>
  </si>
  <si>
    <t>Adjusted Gross Income</t>
  </si>
  <si>
    <t>Qualified business income deduction from Form 8995 or 8995-A</t>
  </si>
  <si>
    <t>Total income</t>
  </si>
  <si>
    <r>
      <rPr>
        <b/>
        <sz val="12"/>
        <color theme="1"/>
        <rFont val="Aptos Narrow"/>
        <scheme val="minor"/>
      </rPr>
      <t>Taxable income</t>
    </r>
    <r>
      <rPr>
        <sz val="12"/>
        <color theme="1"/>
        <rFont val="Aptos Narrow"/>
        <family val="2"/>
        <scheme val="minor"/>
      </rPr>
      <t xml:space="preserve">: Subtract line 24 from line 11: </t>
    </r>
  </si>
  <si>
    <t>Taxed at Capital Gains Rates</t>
  </si>
  <si>
    <t>Tax at Capital Gains Rates</t>
  </si>
  <si>
    <t>Tax at Ordinary Rate</t>
  </si>
  <si>
    <t>Taxed at Ordinary Rate</t>
  </si>
  <si>
    <t>Total tax</t>
  </si>
  <si>
    <t>20% of Section 194 dividends</t>
  </si>
  <si>
    <t>Max Tax</t>
  </si>
  <si>
    <t>2025 Fed Ord. Income Tax Calculation</t>
  </si>
  <si>
    <t>in Bracket</t>
  </si>
  <si>
    <t xml:space="preserve">Ordinary Tax </t>
  </si>
  <si>
    <t>Memo: MAGI</t>
  </si>
  <si>
    <t>Cum</t>
  </si>
  <si>
    <t>Calculation of taxable portion of SS (0% to 85%)</t>
  </si>
  <si>
    <t>1/2 of gross SS benefit</t>
  </si>
  <si>
    <t>All other income</t>
  </si>
  <si>
    <t>"Combined Income"</t>
  </si>
  <si>
    <t>Taxable Portion</t>
  </si>
  <si>
    <t>Taxable amount</t>
  </si>
  <si>
    <t>Base deduction</t>
  </si>
  <si>
    <t>Balance</t>
  </si>
  <si>
    <t>Sum</t>
  </si>
  <si>
    <t>Taxable Portion up to 85% max</t>
  </si>
  <si>
    <t>Percent taxed</t>
  </si>
  <si>
    <t>Tax WH when I took RMD</t>
  </si>
  <si>
    <t>Total tax WH</t>
  </si>
  <si>
    <t>Tax Due (Refund)</t>
  </si>
  <si>
    <t>b Taxable amount (less $$ from Roth; less QCD;less portion that was an after-tax contribution; )</t>
  </si>
  <si>
    <t>15% if line 15&gt; $94,050. 0% if less</t>
  </si>
  <si>
    <t>Est taxes paid in year</t>
  </si>
  <si>
    <r>
      <rPr>
        <b/>
        <sz val="12"/>
        <color theme="1"/>
        <rFont val="Aptos Narrow"/>
        <scheme val="minor"/>
      </rPr>
      <t>Standard deduction</t>
    </r>
    <r>
      <rPr>
        <sz val="12"/>
        <color theme="1"/>
        <rFont val="Aptos Narrow"/>
        <family val="2"/>
        <scheme val="minor"/>
      </rPr>
      <t xml:space="preserve"> (both over 65) or itemized deductions (Schedule A)</t>
    </r>
  </si>
  <si>
    <t>1z</t>
  </si>
  <si>
    <t>All wage related income</t>
  </si>
  <si>
    <t>7a</t>
  </si>
  <si>
    <t>11a,b</t>
  </si>
  <si>
    <t>12e</t>
  </si>
  <si>
    <t>13a</t>
  </si>
  <si>
    <t>13b</t>
  </si>
  <si>
    <t>Added Tax Amount Sched 2, line 11</t>
  </si>
  <si>
    <t>Other deductions, Sched 1-A: bonus standard deduction</t>
  </si>
  <si>
    <r>
      <t xml:space="preserve">Tax Return Format 2025: </t>
    </r>
    <r>
      <rPr>
        <sz val="14"/>
        <color theme="1"/>
        <rFont val="Aptos Narrow (Body)"/>
      </rPr>
      <t>married, joint filers</t>
    </r>
  </si>
  <si>
    <t>Next increment up to $12,000</t>
  </si>
  <si>
    <t>Added tax</t>
  </si>
  <si>
    <t>I assume no ST sales of securities</t>
  </si>
  <si>
    <t>Total dividends</t>
  </si>
  <si>
    <t>Total deductions: Add lines 12 and 13a,b</t>
  </si>
  <si>
    <t>NIIT if &gt; MAGI $250,000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</si>
</sst>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&quot;$&quot;#,##0.00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6"/>
      <color theme="1"/>
      <name val="Aptos Narrow"/>
      <family val="2"/>
      <scheme val="minor"/>
    </font>
    <font>
      <sz val="12"/>
      <color theme="5" tint="0.3999755851924192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4"/>
      <color theme="1"/>
      <name val="Aptos Narrow (Body)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164" fontId="0" fillId="2" borderId="0" xfId="1" applyNumberFormat="1" applyFont="1" applyFill="1"/>
    <xf numFmtId="0" fontId="4" fillId="0" borderId="0" xfId="0" applyFont="1"/>
    <xf numFmtId="164" fontId="0" fillId="0" borderId="0" xfId="1" applyNumberFormat="1" applyFont="1" applyBorder="1"/>
    <xf numFmtId="164" fontId="0" fillId="3" borderId="0" xfId="1" applyNumberFormat="1" applyFont="1" applyFill="1"/>
    <xf numFmtId="164" fontId="0" fillId="3" borderId="0" xfId="0" applyNumberFormat="1" applyFill="1"/>
    <xf numFmtId="164" fontId="5" fillId="0" borderId="0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0" xfId="1" applyNumberFormat="1" applyFont="1" applyBorder="1"/>
    <xf numFmtId="164" fontId="5" fillId="0" borderId="0" xfId="1" applyNumberFormat="1" applyFont="1" applyBorder="1" applyAlignment="1">
      <alignment vertical="center"/>
    </xf>
    <xf numFmtId="0" fontId="6" fillId="4" borderId="0" xfId="0" applyFont="1" applyFill="1"/>
    <xf numFmtId="0" fontId="0" fillId="4" borderId="0" xfId="0" applyFill="1"/>
    <xf numFmtId="3" fontId="0" fillId="4" borderId="0" xfId="0" applyNumberFormat="1" applyFill="1"/>
    <xf numFmtId="3" fontId="0" fillId="4" borderId="3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9" fontId="0" fillId="4" borderId="0" xfId="0" applyNumberForma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right"/>
    </xf>
    <xf numFmtId="165" fontId="0" fillId="5" borderId="0" xfId="0" applyNumberFormat="1" applyFill="1"/>
    <xf numFmtId="166" fontId="0" fillId="4" borderId="0" xfId="2" applyNumberFormat="1" applyFont="1" applyFill="1"/>
    <xf numFmtId="167" fontId="0" fillId="0" borderId="0" xfId="0" applyNumberFormat="1"/>
    <xf numFmtId="164" fontId="0" fillId="6" borderId="0" xfId="1" applyNumberFormat="1" applyFont="1" applyFill="1"/>
    <xf numFmtId="164" fontId="0" fillId="6" borderId="1" xfId="1" applyNumberFormat="1" applyFont="1" applyFill="1" applyBorder="1"/>
    <xf numFmtId="164" fontId="0" fillId="0" borderId="0" xfId="0" applyNumberFormat="1"/>
    <xf numFmtId="0" fontId="0" fillId="7" borderId="0" xfId="0" applyFill="1"/>
    <xf numFmtId="164" fontId="0" fillId="7" borderId="0" xfId="1" applyNumberFormat="1" applyFont="1" applyFill="1"/>
    <xf numFmtId="0" fontId="0" fillId="3" borderId="0" xfId="0" applyFill="1" applyAlignment="1">
      <alignment horizontal="right"/>
    </xf>
    <xf numFmtId="164" fontId="0" fillId="0" borderId="0" xfId="1" applyNumberFormat="1" applyFont="1" applyFill="1" applyBorder="1"/>
    <xf numFmtId="164" fontId="3" fillId="0" borderId="0" xfId="1" applyNumberFormat="1" applyFont="1"/>
    <xf numFmtId="0" fontId="2" fillId="0" borderId="0" xfId="0" applyFont="1" applyAlignment="1">
      <alignment horizontal="right"/>
    </xf>
    <xf numFmtId="164" fontId="0" fillId="0" borderId="0" xfId="1" applyNumberFormat="1" applyFont="1" applyFill="1"/>
    <xf numFmtId="0" fontId="0" fillId="8" borderId="1" xfId="0" applyFill="1" applyBorder="1" applyAlignment="1">
      <alignment horizontal="center"/>
    </xf>
    <xf numFmtId="9" fontId="0" fillId="8" borderId="0" xfId="2" applyFont="1" applyFill="1"/>
    <xf numFmtId="3" fontId="0" fillId="8" borderId="0" xfId="1" applyNumberFormat="1" applyFont="1" applyFill="1"/>
    <xf numFmtId="0" fontId="0" fillId="8" borderId="0" xfId="0" applyFill="1"/>
    <xf numFmtId="0" fontId="0" fillId="8" borderId="0" xfId="0" applyFill="1" applyAlignment="1">
      <alignment horizontal="right"/>
    </xf>
    <xf numFmtId="3" fontId="0" fillId="8" borderId="2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51</xdr:row>
      <xdr:rowOff>38100</xdr:rowOff>
    </xdr:from>
    <xdr:to>
      <xdr:col>10</xdr:col>
      <xdr:colOff>112143</xdr:colOff>
      <xdr:row>58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E0B79-C38F-D248-9363-9CFF21CD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10553700"/>
          <a:ext cx="3617343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1CDB-B906-6148-94E3-A22050A852EA}">
  <dimension ref="B2:N54"/>
  <sheetViews>
    <sheetView tabSelected="1" workbookViewId="0">
      <selection activeCell="J4" sqref="J4"/>
    </sheetView>
  </sheetViews>
  <sheetFormatPr baseColWidth="10" defaultRowHeight="16" x14ac:dyDescent="0.2"/>
  <cols>
    <col min="1" max="1" width="3.6640625" customWidth="1"/>
    <col min="2" max="2" width="7" customWidth="1"/>
    <col min="3" max="3" width="22.5" customWidth="1"/>
    <col min="4" max="4" width="3.83203125" customWidth="1"/>
    <col min="5" max="5" width="11.83203125" customWidth="1"/>
    <col min="6" max="6" width="1.83203125" customWidth="1"/>
    <col min="7" max="7" width="13.5" customWidth="1"/>
    <col min="8" max="8" width="15.1640625" customWidth="1"/>
    <col min="9" max="9" width="5.5" customWidth="1"/>
    <col min="10" max="10" width="11.83203125" customWidth="1"/>
    <col min="11" max="11" width="13.1640625" customWidth="1"/>
    <col min="12" max="12" width="13.33203125" customWidth="1"/>
  </cols>
  <sheetData>
    <row r="2" spans="2:14" ht="22" x14ac:dyDescent="0.3">
      <c r="B2" s="9" t="s">
        <v>64</v>
      </c>
    </row>
    <row r="3" spans="2:14" ht="22" x14ac:dyDescent="0.3">
      <c r="B3" s="9"/>
      <c r="C3" t="s">
        <v>56</v>
      </c>
      <c r="I3" s="3" t="s">
        <v>55</v>
      </c>
    </row>
    <row r="4" spans="2:14" x14ac:dyDescent="0.2">
      <c r="B4" s="3" t="s">
        <v>9</v>
      </c>
      <c r="C4" t="s">
        <v>10</v>
      </c>
      <c r="D4" s="2" t="s">
        <v>9</v>
      </c>
      <c r="E4" s="11">
        <v>0</v>
      </c>
      <c r="F4" s="1"/>
      <c r="G4" t="s">
        <v>11</v>
      </c>
      <c r="I4" s="3" t="s">
        <v>0</v>
      </c>
      <c r="J4" s="38"/>
    </row>
    <row r="5" spans="2:14" x14ac:dyDescent="0.2">
      <c r="B5" s="3" t="s">
        <v>1</v>
      </c>
      <c r="C5" t="s">
        <v>3</v>
      </c>
      <c r="D5" s="2" t="s">
        <v>1</v>
      </c>
      <c r="E5" s="1"/>
      <c r="F5" s="1"/>
      <c r="G5" t="s">
        <v>14</v>
      </c>
      <c r="I5" s="3" t="s">
        <v>2</v>
      </c>
      <c r="J5" s="38"/>
      <c r="K5" t="s">
        <v>68</v>
      </c>
    </row>
    <row r="6" spans="2:14" x14ac:dyDescent="0.2">
      <c r="B6" s="3" t="s">
        <v>4</v>
      </c>
      <c r="C6" t="s">
        <v>5</v>
      </c>
      <c r="D6" s="2" t="s">
        <v>4</v>
      </c>
      <c r="E6" s="1"/>
      <c r="F6" s="1"/>
      <c r="G6" t="s">
        <v>51</v>
      </c>
      <c r="I6" s="3" t="s">
        <v>7</v>
      </c>
      <c r="J6" s="38"/>
    </row>
    <row r="7" spans="2:14" x14ac:dyDescent="0.2">
      <c r="B7" s="3" t="s">
        <v>12</v>
      </c>
      <c r="C7" t="s">
        <v>13</v>
      </c>
      <c r="D7" s="2" t="str">
        <f>B7</f>
        <v>5a</v>
      </c>
      <c r="E7" s="1"/>
      <c r="F7" s="1"/>
      <c r="G7" t="s">
        <v>15</v>
      </c>
      <c r="I7" s="3" t="s">
        <v>6</v>
      </c>
      <c r="J7" s="38"/>
      <c r="M7" s="31"/>
      <c r="N7" s="31"/>
    </row>
    <row r="8" spans="2:14" x14ac:dyDescent="0.2">
      <c r="B8" s="3" t="s">
        <v>8</v>
      </c>
      <c r="C8" t="s">
        <v>16</v>
      </c>
      <c r="D8" s="2" t="str">
        <f>B8</f>
        <v>6a</v>
      </c>
      <c r="E8" s="38"/>
      <c r="F8" s="1"/>
      <c r="G8" t="s">
        <v>15</v>
      </c>
      <c r="I8" s="3" t="s">
        <v>17</v>
      </c>
      <c r="J8" s="38">
        <f>L50</f>
        <v>0</v>
      </c>
    </row>
    <row r="9" spans="2:14" x14ac:dyDescent="0.2">
      <c r="B9" s="3">
        <v>7</v>
      </c>
      <c r="C9" t="s">
        <v>18</v>
      </c>
      <c r="E9" s="1"/>
      <c r="F9" s="1"/>
      <c r="I9" s="3" t="s">
        <v>57</v>
      </c>
      <c r="J9" s="38"/>
    </row>
    <row r="10" spans="2:14" x14ac:dyDescent="0.2">
      <c r="B10" s="3">
        <v>8</v>
      </c>
      <c r="C10" t="s">
        <v>20</v>
      </c>
      <c r="E10" s="1"/>
      <c r="F10" s="1"/>
      <c r="I10" s="3">
        <v>8</v>
      </c>
      <c r="J10" s="35"/>
    </row>
    <row r="11" spans="2:14" x14ac:dyDescent="0.2">
      <c r="B11" s="3">
        <v>9</v>
      </c>
      <c r="C11" s="2" t="s">
        <v>23</v>
      </c>
      <c r="E11" s="1"/>
      <c r="F11" s="1"/>
      <c r="I11" s="3">
        <v>9</v>
      </c>
      <c r="J11" s="1">
        <f>SUM(J3:J10)</f>
        <v>0</v>
      </c>
    </row>
    <row r="12" spans="2:14" x14ac:dyDescent="0.2">
      <c r="B12" s="3">
        <v>10</v>
      </c>
      <c r="C12" t="s">
        <v>19</v>
      </c>
      <c r="E12" s="1"/>
      <c r="F12" s="1"/>
      <c r="I12" s="3">
        <v>10</v>
      </c>
      <c r="J12" s="38">
        <v>0</v>
      </c>
    </row>
    <row r="13" spans="2:14" x14ac:dyDescent="0.2">
      <c r="B13" s="3" t="s">
        <v>58</v>
      </c>
      <c r="C13" s="2" t="s">
        <v>21</v>
      </c>
      <c r="E13" s="1"/>
      <c r="F13" s="1"/>
      <c r="I13" s="3" t="s">
        <v>58</v>
      </c>
      <c r="J13" s="11">
        <f>J11-J12</f>
        <v>0</v>
      </c>
      <c r="K13" s="34" t="s">
        <v>35</v>
      </c>
      <c r="L13" s="12">
        <f>J13+E4</f>
        <v>0</v>
      </c>
    </row>
    <row r="14" spans="2:14" x14ac:dyDescent="0.2">
      <c r="B14" s="3" t="s">
        <v>59</v>
      </c>
      <c r="C14" s="4" t="s">
        <v>54</v>
      </c>
      <c r="E14" s="1"/>
      <c r="F14" s="1"/>
      <c r="I14" s="3" t="s">
        <v>59</v>
      </c>
      <c r="J14" s="1">
        <v>34700</v>
      </c>
    </row>
    <row r="15" spans="2:14" x14ac:dyDescent="0.2">
      <c r="B15" s="3" t="s">
        <v>60</v>
      </c>
      <c r="C15" t="s">
        <v>22</v>
      </c>
      <c r="E15" s="1"/>
      <c r="F15" s="1"/>
      <c r="I15" s="3" t="s">
        <v>60</v>
      </c>
      <c r="J15" s="36"/>
      <c r="K15" t="s">
        <v>30</v>
      </c>
    </row>
    <row r="16" spans="2:14" x14ac:dyDescent="0.2">
      <c r="B16" s="3" t="s">
        <v>61</v>
      </c>
      <c r="C16" t="s">
        <v>63</v>
      </c>
      <c r="E16" s="1"/>
      <c r="F16" s="1"/>
      <c r="I16" s="3" t="str">
        <f>B16</f>
        <v>13b</v>
      </c>
      <c r="J16" s="1">
        <f>MIN(IF($L$13&gt;249000,0,(100000-ROUNDUP($L$13-150000,-3))*0.12),12000)</f>
        <v>12000</v>
      </c>
    </row>
    <row r="17" spans="2:12" x14ac:dyDescent="0.2">
      <c r="B17" s="3">
        <v>14</v>
      </c>
      <c r="C17" t="s">
        <v>69</v>
      </c>
      <c r="E17" s="1"/>
      <c r="F17" s="1"/>
      <c r="I17" s="3">
        <v>14</v>
      </c>
      <c r="J17" s="1">
        <f>J14+J15+J16</f>
        <v>46700</v>
      </c>
    </row>
    <row r="18" spans="2:12" x14ac:dyDescent="0.2">
      <c r="B18" s="3">
        <v>15</v>
      </c>
      <c r="C18" s="4" t="s">
        <v>24</v>
      </c>
      <c r="I18" s="3">
        <v>15</v>
      </c>
      <c r="J18" s="1">
        <f>J13-J17</f>
        <v>-46700</v>
      </c>
    </row>
    <row r="19" spans="2:12" x14ac:dyDescent="0.2">
      <c r="J19" s="1"/>
    </row>
    <row r="20" spans="2:12" x14ac:dyDescent="0.2">
      <c r="I20" s="5" t="s">
        <v>28</v>
      </c>
      <c r="J20" s="1">
        <f>J18-J21</f>
        <v>-46700</v>
      </c>
    </row>
    <row r="21" spans="2:12" x14ac:dyDescent="0.2">
      <c r="I21" s="5" t="s">
        <v>25</v>
      </c>
      <c r="J21" s="1">
        <f>E5+J9</f>
        <v>0</v>
      </c>
      <c r="K21" t="s">
        <v>67</v>
      </c>
    </row>
    <row r="22" spans="2:12" x14ac:dyDescent="0.2">
      <c r="J22" s="1"/>
    </row>
    <row r="23" spans="2:12" x14ac:dyDescent="0.2">
      <c r="I23" s="5" t="s">
        <v>27</v>
      </c>
      <c r="J23" s="1">
        <f>J40</f>
        <v>0</v>
      </c>
      <c r="L23" s="31"/>
    </row>
    <row r="24" spans="2:12" x14ac:dyDescent="0.2">
      <c r="I24" s="5" t="s">
        <v>26</v>
      </c>
      <c r="J24" s="10">
        <f>IF(J18&gt;94050,0.15*J21,0)</f>
        <v>0</v>
      </c>
      <c r="K24" t="s">
        <v>52</v>
      </c>
    </row>
    <row r="25" spans="2:12" x14ac:dyDescent="0.2">
      <c r="B25" s="3">
        <v>17</v>
      </c>
      <c r="C25" t="s">
        <v>62</v>
      </c>
      <c r="I25" s="5" t="s">
        <v>66</v>
      </c>
      <c r="J25" s="10">
        <f>IF(L13&gt;250000,0.038*IF(J4+J5+J9&gt;L13-250000,L13-250000,J4+J5+J9),0)</f>
        <v>0</v>
      </c>
      <c r="K25" t="s">
        <v>70</v>
      </c>
    </row>
    <row r="26" spans="2:12" x14ac:dyDescent="0.2">
      <c r="G26" s="6"/>
      <c r="H26" s="6"/>
      <c r="I26" s="7" t="s">
        <v>29</v>
      </c>
      <c r="J26" s="8">
        <f>SUM(J23:J25)</f>
        <v>0</v>
      </c>
    </row>
    <row r="27" spans="2:12" x14ac:dyDescent="0.2">
      <c r="G27" t="s">
        <v>53</v>
      </c>
      <c r="I27" s="37"/>
      <c r="J27" s="38"/>
    </row>
    <row r="28" spans="2:12" x14ac:dyDescent="0.2">
      <c r="G28" t="s">
        <v>48</v>
      </c>
      <c r="J28" s="30"/>
    </row>
    <row r="29" spans="2:12" x14ac:dyDescent="0.2">
      <c r="G29" t="s">
        <v>49</v>
      </c>
      <c r="J29" s="29">
        <f>J27+J28</f>
        <v>0</v>
      </c>
    </row>
    <row r="30" spans="2:12" x14ac:dyDescent="0.2">
      <c r="G30" s="32" t="s">
        <v>50</v>
      </c>
      <c r="H30" s="32"/>
      <c r="I30" s="32"/>
      <c r="J30" s="33">
        <f>J26-J29</f>
        <v>0</v>
      </c>
    </row>
    <row r="31" spans="2:12" x14ac:dyDescent="0.2">
      <c r="K31" s="13" t="s">
        <v>31</v>
      </c>
      <c r="L31" s="13" t="s">
        <v>36</v>
      </c>
    </row>
    <row r="32" spans="2:12" x14ac:dyDescent="0.2">
      <c r="G32" s="39" t="s">
        <v>32</v>
      </c>
      <c r="H32" s="39"/>
      <c r="I32" s="39"/>
      <c r="J32" s="39"/>
      <c r="K32" s="14" t="s">
        <v>33</v>
      </c>
      <c r="L32" s="14" t="s">
        <v>33</v>
      </c>
    </row>
    <row r="33" spans="7:13" x14ac:dyDescent="0.2">
      <c r="G33" s="40">
        <v>0.1</v>
      </c>
      <c r="H33" s="41">
        <v>23850</v>
      </c>
      <c r="I33" s="42"/>
      <c r="J33" s="41">
        <f>MAX(0,IF($J$20-H33&gt;=H33,G33*H33,G33*$J$20))</f>
        <v>0</v>
      </c>
      <c r="K33" s="15">
        <f>G33*H33</f>
        <v>2385</v>
      </c>
      <c r="L33" s="15">
        <f>K33</f>
        <v>2385</v>
      </c>
    </row>
    <row r="34" spans="7:13" x14ac:dyDescent="0.2">
      <c r="G34" s="40">
        <v>0.12</v>
      </c>
      <c r="H34" s="41">
        <v>96950</v>
      </c>
      <c r="I34" s="42"/>
      <c r="J34" s="41">
        <f>MAX(0,IF($J$20&gt;=H34,G34*(H34-H33),G34*($J$20-H33)))</f>
        <v>0</v>
      </c>
      <c r="K34" s="16">
        <f>G34*(H34-H33)</f>
        <v>8772</v>
      </c>
      <c r="L34" s="16">
        <f>K34+L33</f>
        <v>11157</v>
      </c>
    </row>
    <row r="35" spans="7:13" x14ac:dyDescent="0.2">
      <c r="G35" s="40">
        <v>0.22</v>
      </c>
      <c r="H35" s="41">
        <v>206700</v>
      </c>
      <c r="I35" s="42"/>
      <c r="J35" s="41">
        <f>MAX(0,IF($J$20&gt;=H35,G35*(H35-H34),G35*($J$20-H34)))</f>
        <v>0</v>
      </c>
      <c r="K35" s="16">
        <f>G35*(H35-H34)</f>
        <v>24145</v>
      </c>
      <c r="L35" s="16">
        <f t="shared" ref="L35:L38" si="0">K35+L34</f>
        <v>35302</v>
      </c>
    </row>
    <row r="36" spans="7:13" x14ac:dyDescent="0.2">
      <c r="G36" s="40">
        <v>0.24</v>
      </c>
      <c r="H36" s="41">
        <v>394600</v>
      </c>
      <c r="I36" s="42"/>
      <c r="J36" s="41">
        <f>MAX(0,IF($J$20&gt;=H36,G36*(H36-H35),G36*($J$20-H35)))</f>
        <v>0</v>
      </c>
      <c r="K36" s="16">
        <f>G36*(H36-H35)</f>
        <v>45096</v>
      </c>
      <c r="L36" s="16">
        <f t="shared" si="0"/>
        <v>80398</v>
      </c>
    </row>
    <row r="37" spans="7:13" x14ac:dyDescent="0.2">
      <c r="G37" s="40">
        <v>0.32</v>
      </c>
      <c r="H37" s="41">
        <v>501050</v>
      </c>
      <c r="I37" s="42"/>
      <c r="J37" s="41">
        <f>MAX(0,IF($J$20&gt;=H37,G37*(H37-H36),G37*($J$20-H36)))</f>
        <v>0</v>
      </c>
      <c r="K37" s="16">
        <f>G37*(H37-H36)</f>
        <v>34064</v>
      </c>
      <c r="L37" s="16">
        <f>K37+L36</f>
        <v>114462</v>
      </c>
    </row>
    <row r="38" spans="7:13" x14ac:dyDescent="0.2">
      <c r="G38" s="40">
        <v>0.35</v>
      </c>
      <c r="H38" s="41">
        <v>751700</v>
      </c>
      <c r="I38" s="42"/>
      <c r="J38" s="41">
        <f>MAX(0,IF($G$21&gt;=H38,G38*(H38-H37),G38*($G$21-H37)))</f>
        <v>0</v>
      </c>
      <c r="K38" s="16">
        <f>G38*(H38-H37)</f>
        <v>87727.5</v>
      </c>
      <c r="L38" s="16">
        <f t="shared" si="0"/>
        <v>202189.5</v>
      </c>
    </row>
    <row r="39" spans="7:13" x14ac:dyDescent="0.2">
      <c r="G39" s="40">
        <v>0.37</v>
      </c>
      <c r="H39" s="42"/>
      <c r="I39" s="42"/>
      <c r="J39" s="41">
        <f>MAX(0,IF($G$21&gt;=H39,G39*(H39-H38),G39*($G$21-H38)))</f>
        <v>0</v>
      </c>
      <c r="M39" s="1"/>
    </row>
    <row r="40" spans="7:13" x14ac:dyDescent="0.2">
      <c r="G40" s="42"/>
      <c r="H40" s="43" t="s">
        <v>34</v>
      </c>
      <c r="I40" s="42"/>
      <c r="J40" s="44">
        <f>SUM(J33:J39)</f>
        <v>0</v>
      </c>
      <c r="M40" s="1"/>
    </row>
    <row r="42" spans="7:13" x14ac:dyDescent="0.2">
      <c r="G42" s="17" t="s">
        <v>37</v>
      </c>
      <c r="H42" s="17"/>
      <c r="I42" s="17"/>
      <c r="J42" s="18"/>
      <c r="K42" s="18"/>
      <c r="L42" s="18"/>
    </row>
    <row r="43" spans="7:13" x14ac:dyDescent="0.2">
      <c r="G43" s="18" t="s">
        <v>38</v>
      </c>
      <c r="H43" s="18"/>
      <c r="I43" s="18"/>
      <c r="J43" s="19">
        <f>E8/2</f>
        <v>0</v>
      </c>
      <c r="K43" s="18"/>
      <c r="L43" s="18"/>
    </row>
    <row r="44" spans="7:13" x14ac:dyDescent="0.2">
      <c r="G44" s="18" t="s">
        <v>39</v>
      </c>
      <c r="H44" s="18"/>
      <c r="I44" s="18"/>
      <c r="J44" s="19">
        <f>J4+J5+J6+J9+J10</f>
        <v>0</v>
      </c>
      <c r="K44" s="18"/>
      <c r="L44" s="18"/>
    </row>
    <row r="45" spans="7:13" x14ac:dyDescent="0.2">
      <c r="G45" s="18" t="s">
        <v>40</v>
      </c>
      <c r="H45" s="18"/>
      <c r="I45" s="18"/>
      <c r="J45" s="20">
        <f>J43+J44</f>
        <v>0</v>
      </c>
      <c r="K45" s="21" t="s">
        <v>41</v>
      </c>
      <c r="L45" s="22" t="s">
        <v>42</v>
      </c>
    </row>
    <row r="46" spans="7:13" x14ac:dyDescent="0.2">
      <c r="G46" s="18" t="s">
        <v>43</v>
      </c>
      <c r="H46" s="18"/>
      <c r="I46" s="18"/>
      <c r="J46" s="19">
        <v>30000</v>
      </c>
      <c r="K46" s="23">
        <v>0</v>
      </c>
      <c r="L46" s="19">
        <f>J46*K46</f>
        <v>0</v>
      </c>
    </row>
    <row r="47" spans="7:13" x14ac:dyDescent="0.2">
      <c r="G47" s="18" t="s">
        <v>65</v>
      </c>
      <c r="H47" s="18"/>
      <c r="I47" s="18"/>
      <c r="J47" s="19">
        <f>MAX(0,IF(J45-J46&lt;0,0,IF(J45-J46&gt;12000,12000,J45-J46)))</f>
        <v>0</v>
      </c>
      <c r="K47" s="23">
        <v>0.5</v>
      </c>
      <c r="L47" s="19">
        <f t="shared" ref="L47:L48" si="1">J47*K47</f>
        <v>0</v>
      </c>
    </row>
    <row r="48" spans="7:13" x14ac:dyDescent="0.2">
      <c r="G48" s="18" t="s">
        <v>44</v>
      </c>
      <c r="H48" s="18"/>
      <c r="I48" s="18"/>
      <c r="J48" s="19">
        <f>IF(J47=0,0,J45-J46-J47)</f>
        <v>0</v>
      </c>
      <c r="K48" s="23">
        <v>0.85</v>
      </c>
      <c r="L48" s="19">
        <f t="shared" si="1"/>
        <v>0</v>
      </c>
    </row>
    <row r="49" spans="7:12" x14ac:dyDescent="0.2">
      <c r="G49" s="18"/>
      <c r="H49" s="18"/>
      <c r="I49" s="18"/>
      <c r="J49" s="19"/>
      <c r="K49" s="23" t="s">
        <v>45</v>
      </c>
      <c r="L49" s="20">
        <f>SUM(L46:L48)</f>
        <v>0</v>
      </c>
    </row>
    <row r="50" spans="7:12" x14ac:dyDescent="0.2">
      <c r="G50" s="18"/>
      <c r="H50" s="18"/>
      <c r="I50" s="18"/>
      <c r="J50" s="24"/>
      <c r="K50" s="25" t="s">
        <v>46</v>
      </c>
      <c r="L50" s="26">
        <f>IF(SUM(L46:L48)&lt;E8*0.85,SUM(L46:L48),E8*0.85)</f>
        <v>0</v>
      </c>
    </row>
    <row r="51" spans="7:12" x14ac:dyDescent="0.2">
      <c r="G51" s="18"/>
      <c r="H51" s="18"/>
      <c r="I51" s="18"/>
      <c r="J51" s="18"/>
      <c r="K51" s="18" t="s">
        <v>47</v>
      </c>
      <c r="L51" s="27" t="e">
        <f>L50/E8</f>
        <v>#DIV/0!</v>
      </c>
    </row>
    <row r="54" spans="7:12" x14ac:dyDescent="0.2">
      <c r="J54" s="28"/>
    </row>
  </sheetData>
  <mergeCells count="1">
    <mergeCell ref="G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Canfield</dc:creator>
  <cp:lastModifiedBy>Thomas Canfield</cp:lastModifiedBy>
  <dcterms:created xsi:type="dcterms:W3CDTF">2025-12-26T19:43:35Z</dcterms:created>
  <dcterms:modified xsi:type="dcterms:W3CDTF">2026-01-19T22:41:29Z</dcterms:modified>
</cp:coreProperties>
</file>