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Canfield/Documents/     *2025 Tax Year Folder/        Tax templates 08-25/"/>
    </mc:Choice>
  </mc:AlternateContent>
  <xr:revisionPtr revIDLastSave="0" documentId="13_ncr:1_{4D443507-82DE-FA40-A171-F22CD6ED4D72}" xr6:coauthVersionLast="47" xr6:coauthVersionMax="47" xr10:uidLastSave="{00000000-0000-0000-0000-000000000000}"/>
  <bookViews>
    <workbookView xWindow="8580" yWindow="1200" windowWidth="25560" windowHeight="20900" xr2:uid="{A194A726-C449-B64A-B7D3-39510C289DD6}"/>
  </bookViews>
  <sheets>
    <sheet name="Template" sheetId="1" r:id="rId1"/>
    <sheet name="Screenshot for IRMAA" sheetId="4" r:id="rId2"/>
    <sheet name="Tripwires and tax tables" sheetId="2" r:id="rId3"/>
  </sheets>
  <definedNames>
    <definedName name="_xlnm.Print_Area" localSheetId="0">Template!$A$2:$J$76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H7" i="4"/>
  <c r="H6" i="4"/>
  <c r="H5" i="4"/>
  <c r="K65" i="1"/>
  <c r="K66" i="1"/>
  <c r="K67" i="1" s="1"/>
  <c r="K68" i="1" s="1"/>
  <c r="K64" i="1"/>
  <c r="K63" i="1"/>
  <c r="D34" i="1"/>
  <c r="H67" i="1"/>
  <c r="K33" i="1"/>
  <c r="D41" i="1" l="1"/>
  <c r="D43" i="1" s="1"/>
  <c r="H65" i="1"/>
  <c r="H66" i="1"/>
  <c r="H64" i="1"/>
  <c r="H63" i="1"/>
  <c r="D47" i="1"/>
  <c r="D49" i="1" l="1"/>
  <c r="H34" i="1"/>
  <c r="I34" i="1" s="1"/>
  <c r="Q62" i="2"/>
  <c r="Q63" i="2"/>
  <c r="Q64" i="2"/>
  <c r="Q61" i="2"/>
  <c r="R57" i="2"/>
  <c r="R65" i="2" s="1"/>
  <c r="R56" i="2"/>
  <c r="R64" i="2" s="1"/>
  <c r="R55" i="2"/>
  <c r="R63" i="2" s="1"/>
  <c r="R54" i="2"/>
  <c r="R62" i="2" s="1"/>
  <c r="R53" i="2"/>
  <c r="S53" i="2" s="1"/>
  <c r="S54" i="2" l="1"/>
  <c r="S55" i="2" s="1"/>
  <c r="S56" i="2" s="1"/>
  <c r="S57" i="2" s="1"/>
  <c r="R61" i="2"/>
  <c r="S61" i="2" s="1"/>
  <c r="S62" i="2" s="1"/>
  <c r="S63" i="2" s="1"/>
  <c r="S64" i="2" s="1"/>
  <c r="S65" i="2" s="1"/>
  <c r="J68" i="1" l="1"/>
  <c r="J67" i="1"/>
  <c r="J66" i="1"/>
  <c r="J65" i="1"/>
  <c r="J64" i="1"/>
  <c r="J63" i="1"/>
  <c r="J53" i="1" l="1"/>
  <c r="H50" i="1"/>
  <c r="K40" i="1" l="1"/>
  <c r="K34" i="1" l="1"/>
  <c r="K36" i="1" l="1"/>
  <c r="J39" i="1" l="1"/>
  <c r="J41" i="1" s="1"/>
  <c r="D48" i="1" l="1"/>
  <c r="D50" i="1" s="1"/>
  <c r="K39" i="1"/>
  <c r="H51" i="1" s="1"/>
  <c r="H52" i="1" l="1"/>
  <c r="H54" i="1" s="1"/>
  <c r="J44" i="1"/>
  <c r="H55" i="1" l="1"/>
  <c r="J55" i="1" s="1"/>
  <c r="J54" i="1"/>
  <c r="J57" i="1" l="1"/>
  <c r="J58" i="1" s="1"/>
  <c r="J56" i="1"/>
  <c r="I37" i="1" l="1"/>
  <c r="I41" i="1" s="1"/>
  <c r="K41" i="1" l="1"/>
  <c r="J46" i="1" s="1"/>
  <c r="K37" i="1"/>
  <c r="I42" i="1" l="1"/>
  <c r="I44" i="1" s="1"/>
  <c r="K44" i="1" l="1"/>
  <c r="J45" i="1" s="1"/>
  <c r="I66" i="1"/>
  <c r="I68" i="1"/>
  <c r="I67" i="1"/>
  <c r="I65" i="1"/>
  <c r="I69" i="1"/>
  <c r="I63" i="1"/>
  <c r="I64" i="1"/>
  <c r="I70" i="1" l="1"/>
  <c r="I45" i="1" s="1"/>
  <c r="I47" i="1" s="1"/>
  <c r="D32" i="1" s="1"/>
  <c r="D33" i="1" s="1"/>
</calcChain>
</file>

<file path=xl/sharedStrings.xml><?xml version="1.0" encoding="utf-8"?>
<sst xmlns="http://schemas.openxmlformats.org/spreadsheetml/2006/main" count="178" uniqueCount="160">
  <si>
    <t>(Abbreviated tax return)</t>
  </si>
  <si>
    <t>Social Security</t>
  </si>
  <si>
    <t xml:space="preserve">Other Pension income </t>
  </si>
  <si>
    <t>Other Ordinary Income</t>
  </si>
  <si>
    <t>Taxable Income</t>
  </si>
  <si>
    <t>Estimated SSA for upcoming year: total security sales</t>
  </si>
  <si>
    <t>I always (well, almost always) withdraw (sell securities) to get our after-tax spending amount into cash before the end of December.</t>
  </si>
  <si>
    <t xml:space="preserve">  Total Income</t>
  </si>
  <si>
    <t>Fed tax W/H from distrib from IRAs in December</t>
  </si>
  <si>
    <t>Total Fed Tax</t>
  </si>
  <si>
    <t>Roth</t>
  </si>
  <si>
    <t>Est. ST &amp; LT Capital Gains from Sales</t>
  </si>
  <si>
    <t>(I could transfer securities from traditional IRA to taxable and then sell throughout the upcoming year, but I generally don't do that.)</t>
  </si>
  <si>
    <t>This is consistent with the math and logic in FIRECalc used to find my Safe Spending Rate (SSR%). I also am happier with this, since I don't</t>
  </si>
  <si>
    <t>have to sell during the year and be concerned about market ups and downs. I assume you follow the same practice.</t>
  </si>
  <si>
    <t>The next steps find the total tax you will pay this tax year.</t>
  </si>
  <si>
    <t>Gross</t>
  </si>
  <si>
    <t>Taxable: Income tax rate</t>
  </si>
  <si>
    <t>Calculation of taxable portion of SS (0% to 85%)</t>
  </si>
  <si>
    <t>1/2 of gross SS benefit</t>
  </si>
  <si>
    <t>All other income</t>
  </si>
  <si>
    <t>"Combined Income"</t>
  </si>
  <si>
    <t>Next increment up to $9,000</t>
  </si>
  <si>
    <t>Balance</t>
  </si>
  <si>
    <t>Taxable Portion</t>
  </si>
  <si>
    <t>Conversion Traditional to Roth</t>
  </si>
  <si>
    <t>Base deduction</t>
  </si>
  <si>
    <t>Taxable amount</t>
  </si>
  <si>
    <t>Taxable Portion up to 85% max</t>
  </si>
  <si>
    <t>Percent taxed</t>
  </si>
  <si>
    <t>Calculation of Federal Tax on Ordinary Income</t>
  </si>
  <si>
    <t>Max Tax</t>
  </si>
  <si>
    <t>in Bracket</t>
  </si>
  <si>
    <t xml:space="preserve">Ordinary Tax </t>
  </si>
  <si>
    <t xml:space="preserve">  Tripwire 1</t>
  </si>
  <si>
    <t xml:space="preserve">  Tripwire 2</t>
  </si>
  <si>
    <t xml:space="preserve">  Tripwire 3</t>
  </si>
  <si>
    <t xml:space="preserve">  Tripwire 4</t>
  </si>
  <si>
    <t xml:space="preserve">  Tripwire 5</t>
  </si>
  <si>
    <t>Cum Cost</t>
  </si>
  <si>
    <t>Cost/Tripwire</t>
  </si>
  <si>
    <t>IRMAA = Income Related Medicare Adjustment Amount</t>
  </si>
  <si>
    <t>Single Filer</t>
  </si>
  <si>
    <t>Married, Joint Filers</t>
  </si>
  <si>
    <t>You want to avoid a nearby IRMAA tripwire if you can.</t>
  </si>
  <si>
    <t>Your 2025 Tax Return</t>
  </si>
  <si>
    <t>Taxable Interest +  Dividends</t>
  </si>
  <si>
    <t>Traditional IRA</t>
  </si>
  <si>
    <t>If you are over age 65, you don't want to convert traditional to Roth if you are in the 22% marginal tax bracket.</t>
  </si>
  <si>
    <t>Married, joint filers in the 22% bracket on ordinary income are effectively taxed at 24.6% rate. See this blog post:</t>
  </si>
  <si>
    <t>•</t>
  </si>
  <si>
    <t>If you are in the 22% marginal tax bracket, you are taxed at 22% on added income, and you also lose a portion of the</t>
  </si>
  <si>
    <t>$6,000 bonus Standard Deduction per taxpayer.</t>
  </si>
  <si>
    <t>They would benefit from conversion only if they later avoid paying more than 24.6% rate; hard to justify.</t>
  </si>
  <si>
    <t>Estimated MAGI tripwires and added Medicare</t>
  </si>
  <si>
    <t>premiums paid in 2027 based on MAGI on your</t>
  </si>
  <si>
    <t>2025 tax return.</t>
  </si>
  <si>
    <t>MAGI tripwire</t>
  </si>
  <si>
    <t>(Thresholds do not adjust for inflation)</t>
  </si>
  <si>
    <t xml:space="preserve">  Single filer</t>
  </si>
  <si>
    <t xml:space="preserve">  Married, joint filers</t>
  </si>
  <si>
    <r>
      <rPr>
        <b/>
        <sz val="12"/>
        <color theme="1"/>
        <rFont val="Calibri"/>
        <family val="2"/>
        <scheme val="minor"/>
      </rPr>
      <t>MAGI thresholds that trigger NIIT</t>
    </r>
    <r>
      <rPr>
        <sz val="12"/>
        <color theme="1"/>
        <rFont val="Calibri"/>
        <family val="2"/>
        <scheme val="minor"/>
      </rPr>
      <t xml:space="preserve"> </t>
    </r>
  </si>
  <si>
    <t>(3.8% added tax)</t>
  </si>
  <si>
    <t>subtracting of standard or itemized deductions.</t>
  </si>
  <si>
    <r>
      <rPr>
        <b/>
        <sz val="12"/>
        <color theme="1"/>
        <rFont val="Calibri"/>
        <family val="2"/>
        <scheme val="minor"/>
      </rPr>
      <t>You pay 0% on capital gains income</t>
    </r>
    <r>
      <rPr>
        <sz val="12"/>
        <color theme="1"/>
        <rFont val="Calibri"/>
        <family val="2"/>
        <scheme val="minor"/>
      </rPr>
      <t xml:space="preserve"> (qualified dividends and LT</t>
    </r>
  </si>
  <si>
    <r>
      <t xml:space="preserve">capital gains from sales of securities) </t>
    </r>
    <r>
      <rPr>
        <b/>
        <sz val="12"/>
        <color theme="1"/>
        <rFont val="Calibri"/>
        <family val="2"/>
        <scheme val="minor"/>
      </rPr>
      <t>if taxable income is</t>
    </r>
  </si>
  <si>
    <r>
      <rPr>
        <b/>
        <sz val="12"/>
        <color theme="1"/>
        <rFont val="Calibri"/>
        <family val="2"/>
        <scheme val="minor"/>
      </rPr>
      <t>less than a threshold.</t>
    </r>
    <r>
      <rPr>
        <sz val="12"/>
        <color theme="1"/>
        <rFont val="Calibri"/>
        <family val="2"/>
        <scheme val="minor"/>
      </rPr>
      <t xml:space="preserve"> Taxable income is total income after</t>
    </r>
  </si>
  <si>
    <t>Medicare premiums you pay in calendar 2027 depend on MAGI</t>
  </si>
  <si>
    <t>on your 2025 tax return. Those with higher income pay more than</t>
  </si>
  <si>
    <t>Nov 2026 - applicable to premiums paid in 2027 – will look back</t>
  </si>
  <si>
    <t>at MAGI on 2025 on your tax return that you filed earlier in 2026</t>
  </si>
  <si>
    <t xml:space="preserve">the base amount that all pay. </t>
  </si>
  <si>
    <t>Tripwires and costs issued in Oct or</t>
  </si>
  <si>
    <t xml:space="preserve">to determine if you have crossed a tripwire. </t>
  </si>
  <si>
    <t>You pay greater Medicare Premiums if your MAGI crosses a tripwire.</t>
  </si>
  <si>
    <t>Tripwires adjust for inflation. That's two adjustments from</t>
  </si>
  <si>
    <t>tripwires last issued Nov 2024. I calculate the tripwires that will</t>
  </si>
  <si>
    <t>be issued in Nov 2026 based on 2.5% inflation for 2025 and 2.0%</t>
  </si>
  <si>
    <t>inflation in 2026: (We are on track for about 2.6% adjustment in</t>
  </si>
  <si>
    <t>2025.)</t>
  </si>
  <si>
    <t>increases your effective tax rate by 3.8 percentage points on the</t>
  </si>
  <si>
    <t>portion of investment income that is greater than a threshold</t>
  </si>
  <si>
    <t>MAGI. If you are in the 22% marginal bracket for ordinary income,</t>
  </si>
  <si>
    <t>you are paying, in effect, 25.8% rate on the ordinary income for the</t>
  </si>
  <si>
    <t>amount calculated.</t>
  </si>
  <si>
    <r>
      <rPr>
        <b/>
        <sz val="12"/>
        <color theme="1"/>
        <rFont val="Calibri"/>
        <family val="2"/>
        <scheme val="minor"/>
      </rPr>
      <t>You would like to avoid Net Investment Income tax (NIIT).</t>
    </r>
    <r>
      <rPr>
        <sz val="12"/>
        <color theme="1"/>
        <rFont val="Calibri"/>
        <family val="2"/>
        <scheme val="minor"/>
      </rPr>
      <t xml:space="preserve"> This</t>
    </r>
  </si>
  <si>
    <t>You might want to avoid oridnary income in a greater marginal</t>
  </si>
  <si>
    <t>tax bracket.</t>
  </si>
  <si>
    <t>Top of bracket</t>
  </si>
  <si>
    <t>Rate in bracket</t>
  </si>
  <si>
    <t>Tax</t>
  </si>
  <si>
    <t>Total Security sales</t>
  </si>
  <si>
    <t>Where to I sell to get after tax amount for spending</t>
  </si>
  <si>
    <t>Standard Deduction</t>
  </si>
  <si>
    <t>Base</t>
  </si>
  <si>
    <t>Over age 65</t>
  </si>
  <si>
    <t>Bonus up to $6,000 - sliding scale</t>
  </si>
  <si>
    <t>calculation</t>
  </si>
  <si>
    <t>Total for single filer</t>
  </si>
  <si>
    <t>$17,750 + calc amount</t>
  </si>
  <si>
    <r>
      <t>1 Traditional IRA</t>
    </r>
    <r>
      <rPr>
        <sz val="10"/>
        <color theme="1"/>
        <rFont val="Calibri (Body)"/>
      </rPr>
      <t xml:space="preserve"> (RMD if ≥ age 73 in 2026)</t>
    </r>
  </si>
  <si>
    <t>Investment account</t>
  </si>
  <si>
    <t>Sum</t>
  </si>
  <si>
    <t>3. Sell securities and distribute from Roth account</t>
  </si>
  <si>
    <t xml:space="preserve">     Balance to be sold for spending in 2026</t>
  </si>
  <si>
    <r>
      <t xml:space="preserve">    Less QCD </t>
    </r>
    <r>
      <rPr>
        <sz val="10"/>
        <color theme="1" tint="0.34998626667073579"/>
        <rFont val="Calibri (Body)"/>
      </rPr>
      <t>(allowed if over age 70 1/2)</t>
    </r>
  </si>
  <si>
    <t xml:space="preserve">Restatement: Securities sold/withdrawn from . . . </t>
  </si>
  <si>
    <t xml:space="preserve">    Can delay and sell later in 2026 with no tax consequence</t>
  </si>
  <si>
    <r>
      <t xml:space="preserve">Tax. </t>
    </r>
    <r>
      <rPr>
        <sz val="11"/>
        <color theme="2" tint="-0.499984740745262"/>
        <rFont val="Calibri (Body)"/>
      </rPr>
      <t>Calculation below or in cell.</t>
    </r>
  </si>
  <si>
    <t xml:space="preserve">    a. Withdrawals from Traditional IRAs = ordinary income at, let's assume, 22% marginal tax rate.</t>
  </si>
  <si>
    <t>I always sell "specific securities" when I sell from my taxable brokerage account to result in lowest taxable gain.</t>
  </si>
  <si>
    <t>Added notes:</t>
  </si>
  <si>
    <t>I withhold all taxes for the year when I take our RMD the first week of December. I'm getting interest-free loan from the IRS.</t>
  </si>
  <si>
    <t>Traditional IRA + Roth Distrib</t>
  </si>
  <si>
    <r>
      <t>Standard Deduction.</t>
    </r>
    <r>
      <rPr>
        <sz val="11"/>
        <color theme="1"/>
        <rFont val="Calibri (Body)"/>
      </rPr>
      <t xml:space="preserve"> Assumes your age &gt; 65</t>
    </r>
  </si>
  <si>
    <t>Your brokerage statement will give you the information to calculate the percentage of sales proceeds that are taxable.</t>
  </si>
  <si>
    <t>rate: if we are in the 22% backet, our effective rate on the conversion amount is ~24%. You save more than 24% only if you use Roth in the</t>
  </si>
  <si>
    <t>future to avoid a neary IRMAA tripwire.</t>
  </si>
  <si>
    <t>Steps: this sheet assumes you will withdraw or sell your SSA at year end; your task to avoid taxes that you could otherwise avoid ever paying.</t>
  </si>
  <si>
    <t>Donate to charity using QCD. You get the full tax benefit of your donation.</t>
  </si>
  <si>
    <t>-</t>
  </si>
  <si>
    <t>Ordinary 
Tax Rate</t>
  </si>
  <si>
    <t>Qualifed for 
Cap Gains rate</t>
  </si>
  <si>
    <t>Linear display, 
tax return</t>
  </si>
  <si>
    <t>Assumed percent gain on proceeds from security sales</t>
  </si>
  <si>
    <r>
      <rPr>
        <sz val="12"/>
        <rFont val="Calibri (Body)"/>
      </rPr>
      <t>QBI</t>
    </r>
    <r>
      <rPr>
        <sz val="11"/>
        <rFont val="Calibri (Body)"/>
      </rPr>
      <t xml:space="preserve"> deduction</t>
    </r>
    <r>
      <rPr>
        <sz val="11"/>
        <color theme="2" tint="-0.499984740745262"/>
        <rFont val="Calibri (Body)"/>
      </rPr>
      <t xml:space="preserve"> = 20% of Sect 199A divs</t>
    </r>
  </si>
  <si>
    <t>to max $23,750</t>
  </si>
  <si>
    <t>After-tax from portfolio for spending</t>
  </si>
  <si>
    <t>How much spending do I get after taxes from our SSA?</t>
  </si>
  <si>
    <t>This shorthand display of our tax return works for me.</t>
  </si>
  <si>
    <t>2. Sell securities in taxable account in Dec</t>
  </si>
  <si>
    <t>You may need to adjust to make it work for you. Assumes no tax-exempt interest.</t>
  </si>
  <si>
    <t>MAGI</t>
  </si>
  <si>
    <t>Approx. total for spending after tax, net of QCD &amp; base est for Mcare premiums est. at $200/mo.</t>
  </si>
  <si>
    <r>
      <rPr>
        <b/>
        <sz val="14"/>
        <color theme="1"/>
        <rFont val="Calibri (Body)"/>
      </rPr>
      <t>Estimate of 2025 Tax Return</t>
    </r>
    <r>
      <rPr>
        <sz val="14"/>
        <color theme="1"/>
        <rFont val="Calibri (Body)"/>
      </rPr>
      <t xml:space="preserve"> </t>
    </r>
    <r>
      <rPr>
        <sz val="11"/>
        <color theme="1"/>
        <rFont val="Calibri"/>
        <family val="2"/>
        <scheme val="minor"/>
      </rPr>
      <t>(Single filer)</t>
    </r>
  </si>
  <si>
    <t xml:space="preserve">2. Estimate taxable income other than from sales of securities from my portfolio. </t>
  </si>
  <si>
    <t>Use last year's tax return as a guide; e.g., adjust last year's gross SS for the 2.5% COLA in 2025.</t>
  </si>
  <si>
    <t>3. Decide where your SSA will come from: three sources must add to your total.</t>
  </si>
  <si>
    <r>
      <t xml:space="preserve">    b. Sales of Taxable Securities = Long term capital gains = Maybe 7.5% effective tax rate on sales proceeds.</t>
    </r>
    <r>
      <rPr>
        <sz val="11"/>
        <color theme="2" tint="-0.499984740745262"/>
        <rFont val="Calibri (Body)"/>
      </rPr>
      <t xml:space="preserve"> (e.g., 15% of 50% gain)</t>
    </r>
  </si>
  <si>
    <t>For almost all of us over age 65, the benefit of converting traditional to Roth has almost disappeared. We pay high effective tax on the conversion</t>
  </si>
  <si>
    <t>amount, since we lose a portion of the Bonus Standard deduction. That loss adds roughly two percentage percentage points to the ordinary</t>
  </si>
  <si>
    <r>
      <t xml:space="preserve">    c. Roth = not recorded income and no taxes </t>
    </r>
    <r>
      <rPr>
        <sz val="11"/>
        <color theme="2" tint="-0.499984740745262"/>
        <rFont val="Calibri (Body)"/>
      </rPr>
      <t>(assumes you meet certain Roth withdrawal rules)</t>
    </r>
  </si>
  <si>
    <t xml:space="preserve">1. Estimate SSA for upcoming year or the gross amount of securities you plan to sell in cell D31. </t>
  </si>
  <si>
    <t>NIIT if MAGI &gt; $200,000</t>
  </si>
  <si>
    <t>Tom Canfield. Novemvber 2025.</t>
  </si>
  <si>
    <t>My est. of IRMAA tripwires using 2025 return</t>
  </si>
  <si>
    <t>MAGI tripwire #1 ~$1,200 cost</t>
  </si>
  <si>
    <t>MAGI tripwire #2 ~$1,800 cost</t>
  </si>
  <si>
    <t>MAGI tripwire #3 ~$1,800 cost</t>
  </si>
  <si>
    <t>MAGI tripwire #4 ~$1,800 cost</t>
  </si>
  <si>
    <t>*assumes 2% inflation adjustment</t>
  </si>
  <si>
    <t xml:space="preserve"> </t>
  </si>
  <si>
    <t>MAGI tripwire #1 ~$2,400 cost</t>
  </si>
  <si>
    <t>SINGLE FILER on medicare</t>
  </si>
  <si>
    <t>MARRIED, JOINT FILERS, both on medicare</t>
  </si>
  <si>
    <t>MAGI tripwire #2 ~$3,600 cost</t>
  </si>
  <si>
    <t>MAGI tripwire #3 ~$3,600 cost</t>
  </si>
  <si>
    <t>MAGI tripwire #4 ~$3,600 cost</t>
  </si>
  <si>
    <t>MAGI tripwire #5 ~$650 cost</t>
  </si>
  <si>
    <t>MAGI tripwire #5 ~$1,300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</si>
</sst>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0.0%"/>
  </numFmts>
  <fonts count="3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2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sz val="12"/>
      <color rgb="FF0070C0"/>
      <name val="Calibri"/>
      <family val="2"/>
      <scheme val="minor"/>
    </font>
    <font>
      <sz val="8"/>
      <name val="Calibri"/>
      <family val="2"/>
      <scheme val="minor"/>
    </font>
    <font>
      <sz val="12"/>
      <color theme="8" tint="0.39997558519241921"/>
      <name val="Calibri"/>
      <family val="2"/>
      <scheme val="minor"/>
    </font>
    <font>
      <strike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0"/>
      <color theme="1"/>
      <name val="Calibri (Body)"/>
    </font>
    <font>
      <sz val="12"/>
      <color theme="2" tint="-0.499984740745262"/>
      <name val="Calibri"/>
      <family val="2"/>
      <scheme val="minor"/>
    </font>
    <font>
      <sz val="10"/>
      <color theme="1" tint="0.34998626667073579"/>
      <name val="Calibri (Body)"/>
    </font>
    <font>
      <sz val="11"/>
      <color theme="2" tint="-0.499984740745262"/>
      <name val="Calibri (Body)"/>
    </font>
    <font>
      <sz val="11"/>
      <color theme="1"/>
      <name val="Calibri (Body)"/>
    </font>
    <font>
      <sz val="12"/>
      <name val="Calibri (Body)"/>
    </font>
    <font>
      <sz val="12"/>
      <color theme="2" tint="-0.499984740745262"/>
      <name val="Calibri (Body)"/>
    </font>
    <font>
      <sz val="11"/>
      <name val="Calibri (Body)"/>
    </font>
    <font>
      <b/>
      <sz val="12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(Body)"/>
    </font>
    <font>
      <sz val="14"/>
      <color theme="1"/>
      <name val="Calibri (Body)"/>
    </font>
    <font>
      <sz val="12"/>
      <color theme="1"/>
      <name val="Calibri"/>
      <family val="2"/>
    </font>
    <font>
      <sz val="12"/>
      <color theme="1" tint="0.499984740745262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A8DDF0"/>
        <bgColor indexed="64"/>
      </patternFill>
    </fill>
    <fill>
      <patternFill patternType="solid">
        <fgColor rgb="FFC0E5C0"/>
        <bgColor indexed="64"/>
      </patternFill>
    </fill>
    <fill>
      <patternFill patternType="solid">
        <fgColor rgb="FFE9FEE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5">
    <xf numFmtId="0" fontId="0" fillId="0" borderId="0" xfId="0"/>
    <xf numFmtId="164" fontId="0" fillId="0" borderId="0" xfId="1" applyNumberFormat="1" applyFont="1"/>
    <xf numFmtId="0" fontId="0" fillId="2" borderId="0" xfId="0" applyFill="1"/>
    <xf numFmtId="0" fontId="0" fillId="3" borderId="0" xfId="0" applyFill="1"/>
    <xf numFmtId="0" fontId="3" fillId="0" borderId="0" xfId="0" applyFont="1"/>
    <xf numFmtId="0" fontId="0" fillId="4" borderId="0" xfId="0" applyFill="1"/>
    <xf numFmtId="0" fontId="5" fillId="0" borderId="0" xfId="0" applyFont="1"/>
    <xf numFmtId="0" fontId="6" fillId="0" borderId="0" xfId="0" applyFont="1"/>
    <xf numFmtId="0" fontId="0" fillId="0" borderId="0" xfId="0" applyAlignment="1">
      <alignment wrapText="1"/>
    </xf>
    <xf numFmtId="0" fontId="4" fillId="0" borderId="0" xfId="0" applyFont="1"/>
    <xf numFmtId="3" fontId="0" fillId="5" borderId="0" xfId="1" applyNumberFormat="1" applyFont="1" applyFill="1"/>
    <xf numFmtId="3" fontId="0" fillId="3" borderId="0" xfId="1" applyNumberFormat="1" applyFont="1" applyFill="1"/>
    <xf numFmtId="3" fontId="0" fillId="0" borderId="0" xfId="0" applyNumberFormat="1"/>
    <xf numFmtId="3" fontId="0" fillId="0" borderId="2" xfId="0" applyNumberFormat="1" applyBorder="1"/>
    <xf numFmtId="164" fontId="0" fillId="0" borderId="0" xfId="1" applyNumberFormat="1" applyFont="1" applyBorder="1"/>
    <xf numFmtId="9" fontId="0" fillId="0" borderId="0" xfId="2" applyFont="1"/>
    <xf numFmtId="0" fontId="8" fillId="0" borderId="0" xfId="0" applyFont="1"/>
    <xf numFmtId="0" fontId="9" fillId="0" borderId="0" xfId="0" applyFont="1"/>
    <xf numFmtId="0" fontId="2" fillId="0" borderId="0" xfId="0" applyFont="1"/>
    <xf numFmtId="164" fontId="9" fillId="0" borderId="0" xfId="1" applyNumberFormat="1" applyFont="1" applyBorder="1"/>
    <xf numFmtId="164" fontId="4" fillId="0" borderId="0" xfId="1" applyNumberFormat="1" applyFont="1" applyBorder="1"/>
    <xf numFmtId="0" fontId="10" fillId="0" borderId="0" xfId="0" applyFont="1"/>
    <xf numFmtId="0" fontId="4" fillId="6" borderId="0" xfId="0" applyFont="1" applyFill="1"/>
    <xf numFmtId="3" fontId="0" fillId="2" borderId="0" xfId="0" applyNumberFormat="1" applyFill="1" applyAlignment="1">
      <alignment horizontal="right"/>
    </xf>
    <xf numFmtId="3" fontId="0" fillId="4" borderId="0" xfId="0" applyNumberFormat="1" applyFill="1" applyAlignment="1">
      <alignment horizontal="right"/>
    </xf>
    <xf numFmtId="0" fontId="7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3" fontId="0" fillId="0" borderId="0" xfId="1" applyNumberFormat="1" applyFont="1" applyFill="1" applyAlignment="1">
      <alignment vertical="center"/>
    </xf>
    <xf numFmtId="0" fontId="0" fillId="9" borderId="0" xfId="0" applyFill="1"/>
    <xf numFmtId="0" fontId="0" fillId="10" borderId="0" xfId="0" applyFill="1"/>
    <xf numFmtId="3" fontId="11" fillId="0" borderId="0" xfId="1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6" fontId="0" fillId="0" borderId="0" xfId="2" applyNumberFormat="1" applyFont="1"/>
    <xf numFmtId="0" fontId="2" fillId="9" borderId="0" xfId="0" applyFont="1" applyFill="1"/>
    <xf numFmtId="0" fontId="0" fillId="9" borderId="1" xfId="0" applyFill="1" applyBorder="1" applyAlignment="1">
      <alignment horizontal="center"/>
    </xf>
    <xf numFmtId="5" fontId="0" fillId="9" borderId="0" xfId="3" applyNumberFormat="1" applyFont="1" applyFill="1" applyAlignment="1">
      <alignment horizontal="center"/>
    </xf>
    <xf numFmtId="0" fontId="14" fillId="4" borderId="0" xfId="0" applyFont="1" applyFill="1"/>
    <xf numFmtId="3" fontId="14" fillId="4" borderId="0" xfId="0" applyNumberFormat="1" applyFont="1" applyFill="1" applyAlignment="1">
      <alignment horizontal="right"/>
    </xf>
    <xf numFmtId="3" fontId="0" fillId="4" borderId="0" xfId="0" applyNumberFormat="1" applyFill="1"/>
    <xf numFmtId="0" fontId="2" fillId="9" borderId="1" xfId="0" applyFont="1" applyFill="1" applyBorder="1" applyAlignment="1">
      <alignment horizontal="center"/>
    </xf>
    <xf numFmtId="0" fontId="15" fillId="9" borderId="0" xfId="0" applyFont="1" applyFill="1"/>
    <xf numFmtId="0" fontId="16" fillId="9" borderId="0" xfId="0" applyFont="1" applyFill="1"/>
    <xf numFmtId="0" fontId="7" fillId="9" borderId="0" xfId="0" applyFont="1" applyFill="1"/>
    <xf numFmtId="3" fontId="0" fillId="9" borderId="0" xfId="0" applyNumberFormat="1" applyFill="1"/>
    <xf numFmtId="0" fontId="0" fillId="9" borderId="1" xfId="0" applyFill="1" applyBorder="1"/>
    <xf numFmtId="9" fontId="0" fillId="9" borderId="0" xfId="0" applyNumberFormat="1" applyFill="1" applyAlignment="1">
      <alignment horizontal="center"/>
    </xf>
    <xf numFmtId="0" fontId="0" fillId="9" borderId="0" xfId="0" applyFill="1" applyAlignment="1">
      <alignment horizontal="right"/>
    </xf>
    <xf numFmtId="166" fontId="0" fillId="9" borderId="0" xfId="2" applyNumberFormat="1" applyFont="1" applyFill="1"/>
    <xf numFmtId="0" fontId="4" fillId="9" borderId="0" xfId="0" applyFont="1" applyFill="1"/>
    <xf numFmtId="164" fontId="13" fillId="9" borderId="0" xfId="1" applyNumberFormat="1" applyFont="1" applyFill="1" applyBorder="1" applyAlignment="1">
      <alignment horizontal="center"/>
    </xf>
    <xf numFmtId="164" fontId="13" fillId="9" borderId="1" xfId="1" applyNumberFormat="1" applyFont="1" applyFill="1" applyBorder="1" applyAlignment="1">
      <alignment horizontal="center"/>
    </xf>
    <xf numFmtId="3" fontId="0" fillId="9" borderId="0" xfId="1" applyNumberFormat="1" applyFont="1" applyFill="1"/>
    <xf numFmtId="164" fontId="13" fillId="9" borderId="0" xfId="1" applyNumberFormat="1" applyFont="1" applyFill="1" applyBorder="1"/>
    <xf numFmtId="164" fontId="13" fillId="9" borderId="0" xfId="1" applyNumberFormat="1" applyFont="1" applyFill="1" applyBorder="1" applyAlignment="1">
      <alignment vertical="center"/>
    </xf>
    <xf numFmtId="164" fontId="0" fillId="9" borderId="0" xfId="1" applyNumberFormat="1" applyFont="1" applyFill="1"/>
    <xf numFmtId="3" fontId="0" fillId="9" borderId="2" xfId="1" applyNumberFormat="1" applyFont="1" applyFill="1" applyBorder="1"/>
    <xf numFmtId="9" fontId="0" fillId="9" borderId="0" xfId="2" applyFont="1" applyFill="1" applyAlignment="1">
      <alignment horizontal="center"/>
    </xf>
    <xf numFmtId="0" fontId="0" fillId="9" borderId="3" xfId="0" applyFill="1" applyBorder="1" applyAlignment="1">
      <alignment horizontal="center"/>
    </xf>
    <xf numFmtId="3" fontId="0" fillId="9" borderId="3" xfId="0" applyNumberFormat="1" applyFill="1" applyBorder="1"/>
    <xf numFmtId="3" fontId="8" fillId="0" borderId="2" xfId="1" applyNumberFormat="1" applyFont="1" applyBorder="1"/>
    <xf numFmtId="3" fontId="4" fillId="9" borderId="2" xfId="1" applyNumberFormat="1" applyFont="1" applyFill="1" applyBorder="1" applyAlignment="1">
      <alignment horizontal="right"/>
    </xf>
    <xf numFmtId="0" fontId="0" fillId="0" borderId="0" xfId="0" applyAlignment="1">
      <alignment vertical="center"/>
    </xf>
    <xf numFmtId="0" fontId="18" fillId="0" borderId="0" xfId="0" applyFont="1"/>
    <xf numFmtId="0" fontId="0" fillId="11" borderId="0" xfId="0" applyFill="1"/>
    <xf numFmtId="0" fontId="0" fillId="11" borderId="0" xfId="0" applyFill="1" applyAlignment="1">
      <alignment horizontal="right"/>
    </xf>
    <xf numFmtId="165" fontId="0" fillId="11" borderId="0" xfId="0" applyNumberFormat="1" applyFill="1"/>
    <xf numFmtId="3" fontId="8" fillId="0" borderId="0" xfId="0" applyNumberFormat="1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0" fillId="0" borderId="0" xfId="0" quotePrefix="1" applyAlignment="1">
      <alignment horizontal="right"/>
    </xf>
    <xf numFmtId="3" fontId="0" fillId="8" borderId="0" xfId="1" applyNumberFormat="1" applyFont="1" applyFill="1"/>
    <xf numFmtId="3" fontId="10" fillId="9" borderId="1" xfId="1" applyNumberFormat="1" applyFont="1" applyFill="1" applyBorder="1" applyAlignment="1">
      <alignment vertical="center"/>
    </xf>
    <xf numFmtId="3" fontId="8" fillId="10" borderId="0" xfId="1" applyNumberFormat="1" applyFont="1" applyFill="1" applyBorder="1"/>
    <xf numFmtId="3" fontId="0" fillId="2" borderId="2" xfId="0" applyNumberFormat="1" applyFill="1" applyBorder="1" applyAlignment="1">
      <alignment horizontal="right"/>
    </xf>
    <xf numFmtId="0" fontId="0" fillId="0" borderId="0" xfId="0" applyAlignment="1">
      <alignment vertical="top"/>
    </xf>
    <xf numFmtId="9" fontId="18" fillId="9" borderId="0" xfId="0" applyNumberFormat="1" applyFont="1" applyFill="1"/>
    <xf numFmtId="0" fontId="23" fillId="0" borderId="0" xfId="0" applyFont="1"/>
    <xf numFmtId="3" fontId="4" fillId="9" borderId="0" xfId="1" applyNumberFormat="1" applyFont="1" applyFill="1" applyBorder="1" applyAlignment="1">
      <alignment horizontal="right"/>
    </xf>
    <xf numFmtId="3" fontId="0" fillId="7" borderId="4" xfId="0" applyNumberFormat="1" applyFill="1" applyBorder="1"/>
    <xf numFmtId="3" fontId="0" fillId="7" borderId="5" xfId="0" applyNumberFormat="1" applyFill="1" applyBorder="1" applyAlignment="1">
      <alignment horizontal="right"/>
    </xf>
    <xf numFmtId="3" fontId="0" fillId="0" borderId="0" xfId="0" applyNumberFormat="1" applyAlignment="1">
      <alignment vertical="center"/>
    </xf>
    <xf numFmtId="37" fontId="0" fillId="0" borderId="0" xfId="0" applyNumberFormat="1"/>
    <xf numFmtId="0" fontId="26" fillId="0" borderId="0" xfId="0" applyFont="1"/>
    <xf numFmtId="164" fontId="0" fillId="0" borderId="0" xfId="0" applyNumberFormat="1"/>
    <xf numFmtId="0" fontId="30" fillId="9" borderId="1" xfId="0" applyFont="1" applyFill="1" applyBorder="1"/>
    <xf numFmtId="0" fontId="30" fillId="0" borderId="0" xfId="0" applyFont="1"/>
    <xf numFmtId="0" fontId="30" fillId="9" borderId="6" xfId="0" applyFont="1" applyFill="1" applyBorder="1"/>
    <xf numFmtId="0" fontId="30" fillId="9" borderId="0" xfId="0" applyFont="1" applyFill="1"/>
    <xf numFmtId="165" fontId="30" fillId="9" borderId="7" xfId="0" applyNumberFormat="1" applyFont="1" applyFill="1" applyBorder="1"/>
    <xf numFmtId="0" fontId="31" fillId="9" borderId="8" xfId="0" applyFont="1" applyFill="1" applyBorder="1"/>
    <xf numFmtId="0" fontId="30" fillId="9" borderId="9" xfId="0" applyFont="1" applyFill="1" applyBorder="1"/>
    <xf numFmtId="0" fontId="25" fillId="0" borderId="0" xfId="0" applyFont="1" applyAlignment="1">
      <alignment vertical="center" wrapText="1"/>
    </xf>
    <xf numFmtId="3" fontId="25" fillId="0" borderId="0" xfId="0" applyNumberFormat="1" applyFont="1" applyAlignment="1">
      <alignment vertic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 wrapText="1"/>
    </xf>
    <xf numFmtId="164" fontId="11" fillId="0" borderId="0" xfId="1" applyNumberFormat="1" applyFont="1" applyBorder="1" applyAlignment="1">
      <alignment vertical="center"/>
    </xf>
    <xf numFmtId="3" fontId="0" fillId="0" borderId="2" xfId="1" applyNumberFormat="1" applyFont="1" applyBorder="1" applyAlignment="1">
      <alignment horizontal="center" vertical="center" wrapText="1"/>
    </xf>
    <xf numFmtId="3" fontId="0" fillId="0" borderId="0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8" borderId="0" xfId="0" applyNumberFormat="1" applyFill="1" applyAlignment="1">
      <alignment horizontal="center"/>
    </xf>
    <xf numFmtId="0" fontId="32" fillId="0" borderId="0" xfId="0" applyFont="1"/>
    <xf numFmtId="0" fontId="33" fillId="9" borderId="1" xfId="0" applyFont="1" applyFill="1" applyBorder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0E5C0"/>
      <color rgb="FFA2D662"/>
      <color rgb="FFE9FEE9"/>
      <color rgb="FFFFCD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57</xdr:row>
      <xdr:rowOff>114300</xdr:rowOff>
    </xdr:from>
    <xdr:to>
      <xdr:col>2</xdr:col>
      <xdr:colOff>812800</xdr:colOff>
      <xdr:row>65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0386ECF-C18A-3DD5-AFDE-50BE2F9EE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1417300"/>
          <a:ext cx="2946400" cy="1663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431800</xdr:colOff>
      <xdr:row>9</xdr:row>
      <xdr:rowOff>152400</xdr:rowOff>
    </xdr:from>
    <xdr:to>
      <xdr:col>11</xdr:col>
      <xdr:colOff>251278</xdr:colOff>
      <xdr:row>16</xdr:row>
      <xdr:rowOff>50800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A72AC2-DE06-A764-B785-D5DFEBF10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40300" y="2628900"/>
          <a:ext cx="3007178" cy="132080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7</xdr:col>
      <xdr:colOff>228600</xdr:colOff>
      <xdr:row>18</xdr:row>
      <xdr:rowOff>12700</xdr:rowOff>
    </xdr:from>
    <xdr:to>
      <xdr:col>11</xdr:col>
      <xdr:colOff>343279</xdr:colOff>
      <xdr:row>33</xdr:row>
      <xdr:rowOff>101600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E47544-A4B1-F958-3EAF-483A4AA96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37100" y="4521200"/>
          <a:ext cx="3302379" cy="314960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7</xdr:col>
      <xdr:colOff>406400</xdr:colOff>
      <xdr:row>35</xdr:row>
      <xdr:rowOff>25400</xdr:rowOff>
    </xdr:from>
    <xdr:to>
      <xdr:col>10</xdr:col>
      <xdr:colOff>520700</xdr:colOff>
      <xdr:row>40</xdr:row>
      <xdr:rowOff>101600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658FFD0-FDAA-E6C4-32E4-F0C43DFFC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38700" y="8407400"/>
          <a:ext cx="2476500" cy="109220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3</xdr:col>
      <xdr:colOff>584200</xdr:colOff>
      <xdr:row>44</xdr:row>
      <xdr:rowOff>114300</xdr:rowOff>
    </xdr:from>
    <xdr:to>
      <xdr:col>7</xdr:col>
      <xdr:colOff>635000</xdr:colOff>
      <xdr:row>46</xdr:row>
      <xdr:rowOff>139700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910E71-4BB2-305A-A649-A75400634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0" y="10528300"/>
          <a:ext cx="3352800" cy="431800"/>
        </a:xfrm>
        <a:prstGeom prst="rect">
          <a:avLst/>
        </a:prstGeom>
      </xdr:spPr>
    </xdr:pic>
    <xdr:clientData/>
  </xdr:twoCellAnchor>
  <xdr:twoCellAnchor editAs="oneCell">
    <xdr:from>
      <xdr:col>5</xdr:col>
      <xdr:colOff>800100</xdr:colOff>
      <xdr:row>46</xdr:row>
      <xdr:rowOff>152400</xdr:rowOff>
    </xdr:from>
    <xdr:to>
      <xdr:col>10</xdr:col>
      <xdr:colOff>127000</xdr:colOff>
      <xdr:row>59</xdr:row>
      <xdr:rowOff>38100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5999935-3122-49B8-027B-1E3D24946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81400" y="10972800"/>
          <a:ext cx="3340100" cy="23241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46</xdr:row>
      <xdr:rowOff>152400</xdr:rowOff>
    </xdr:from>
    <xdr:to>
      <xdr:col>5</xdr:col>
      <xdr:colOff>774700</xdr:colOff>
      <xdr:row>59</xdr:row>
      <xdr:rowOff>25400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E69F296-0C84-838A-3C01-BDCE8BFFD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8600" y="10972800"/>
          <a:ext cx="3327400" cy="2311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7FCCE-566F-6D43-94C9-D1B2673B23B4}">
  <sheetPr>
    <pageSetUpPr fitToPage="1"/>
  </sheetPr>
  <dimension ref="A2:T80"/>
  <sheetViews>
    <sheetView tabSelected="1" workbookViewId="0">
      <selection activeCell="H73" sqref="H73"/>
    </sheetView>
  </sheetViews>
  <sheetFormatPr baseColWidth="10" defaultRowHeight="16" x14ac:dyDescent="0.2"/>
  <cols>
    <col min="1" max="1" width="3.5" customWidth="1"/>
    <col min="2" max="2" width="28.5" customWidth="1"/>
    <col min="3" max="3" width="16.1640625" customWidth="1"/>
    <col min="4" max="4" width="14.6640625" customWidth="1"/>
    <col min="5" max="5" width="4.1640625" customWidth="1"/>
    <col min="6" max="6" width="7" customWidth="1"/>
    <col min="7" max="7" width="20.5" customWidth="1"/>
    <col min="8" max="8" width="13.1640625" customWidth="1"/>
    <col min="9" max="10" width="13.6640625" customWidth="1"/>
    <col min="11" max="11" width="13.33203125" customWidth="1"/>
    <col min="12" max="12" width="10.83203125" style="1"/>
  </cols>
  <sheetData>
    <row r="2" spans="1:12" x14ac:dyDescent="0.2">
      <c r="A2" t="s">
        <v>6</v>
      </c>
    </row>
    <row r="3" spans="1:12" x14ac:dyDescent="0.2">
      <c r="A3" s="64" t="s">
        <v>12</v>
      </c>
    </row>
    <row r="4" spans="1:12" x14ac:dyDescent="0.2">
      <c r="A4" t="s">
        <v>13</v>
      </c>
    </row>
    <row r="5" spans="1:12" x14ac:dyDescent="0.2">
      <c r="A5" t="s">
        <v>14</v>
      </c>
    </row>
    <row r="6" spans="1:12" ht="21" customHeight="1" x14ac:dyDescent="0.2">
      <c r="B6" s="18" t="s">
        <v>118</v>
      </c>
      <c r="C6" s="18"/>
    </row>
    <row r="7" spans="1:12" x14ac:dyDescent="0.2">
      <c r="B7" s="30" t="s">
        <v>142</v>
      </c>
      <c r="C7" s="30"/>
      <c r="D7" s="30"/>
      <c r="E7" s="30"/>
      <c r="F7" s="30"/>
      <c r="G7" s="30"/>
    </row>
    <row r="8" spans="1:12" ht="22" customHeight="1" x14ac:dyDescent="0.2">
      <c r="B8" t="s">
        <v>15</v>
      </c>
    </row>
    <row r="9" spans="1:12" ht="3" customHeight="1" x14ac:dyDescent="0.2"/>
    <row r="10" spans="1:12" x14ac:dyDescent="0.2">
      <c r="B10" s="2" t="s">
        <v>135</v>
      </c>
      <c r="C10" s="2"/>
      <c r="D10" s="2"/>
      <c r="E10" s="2"/>
      <c r="F10" s="2"/>
      <c r="G10" s="2"/>
      <c r="H10" s="2"/>
      <c r="L10"/>
    </row>
    <row r="11" spans="1:12" x14ac:dyDescent="0.2">
      <c r="B11" s="2" t="s">
        <v>136</v>
      </c>
      <c r="C11" s="2"/>
      <c r="D11" s="2"/>
      <c r="E11" s="2"/>
      <c r="F11" s="2"/>
      <c r="G11" s="2"/>
      <c r="H11" s="2"/>
      <c r="L11"/>
    </row>
    <row r="12" spans="1:12" x14ac:dyDescent="0.2">
      <c r="B12" t="s">
        <v>137</v>
      </c>
    </row>
    <row r="13" spans="1:12" x14ac:dyDescent="0.2">
      <c r="B13" t="s">
        <v>109</v>
      </c>
    </row>
    <row r="14" spans="1:12" x14ac:dyDescent="0.2">
      <c r="B14" t="s">
        <v>138</v>
      </c>
    </row>
    <row r="15" spans="1:12" x14ac:dyDescent="0.2">
      <c r="B15" t="s">
        <v>141</v>
      </c>
    </row>
    <row r="16" spans="1:12" ht="7" customHeight="1" x14ac:dyDescent="0.2"/>
    <row r="17" spans="1:20" x14ac:dyDescent="0.2">
      <c r="B17" t="s">
        <v>111</v>
      </c>
    </row>
    <row r="18" spans="1:20" x14ac:dyDescent="0.2">
      <c r="A18" s="71" t="s">
        <v>120</v>
      </c>
      <c r="B18" t="s">
        <v>119</v>
      </c>
    </row>
    <row r="19" spans="1:20" x14ac:dyDescent="0.2">
      <c r="A19" s="71" t="s">
        <v>120</v>
      </c>
      <c r="B19" t="s">
        <v>112</v>
      </c>
      <c r="C19" s="4"/>
      <c r="D19" s="4"/>
      <c r="E19" s="4"/>
      <c r="F19" s="4"/>
      <c r="G19" s="4"/>
    </row>
    <row r="20" spans="1:20" x14ac:dyDescent="0.2">
      <c r="A20" s="71" t="s">
        <v>120</v>
      </c>
      <c r="B20" t="s">
        <v>115</v>
      </c>
      <c r="C20" s="4"/>
      <c r="D20" s="4"/>
      <c r="E20" s="4"/>
      <c r="F20" s="4"/>
      <c r="G20" s="4"/>
    </row>
    <row r="21" spans="1:20" x14ac:dyDescent="0.2">
      <c r="A21" s="71" t="s">
        <v>120</v>
      </c>
      <c r="B21" t="s">
        <v>110</v>
      </c>
    </row>
    <row r="22" spans="1:20" x14ac:dyDescent="0.2">
      <c r="A22" s="71" t="s">
        <v>120</v>
      </c>
      <c r="B22" t="s">
        <v>139</v>
      </c>
    </row>
    <row r="23" spans="1:20" x14ac:dyDescent="0.2">
      <c r="B23" t="s">
        <v>140</v>
      </c>
    </row>
    <row r="24" spans="1:20" x14ac:dyDescent="0.2">
      <c r="B24" t="s">
        <v>116</v>
      </c>
    </row>
    <row r="25" spans="1:20" x14ac:dyDescent="0.2">
      <c r="B25" t="s">
        <v>117</v>
      </c>
    </row>
    <row r="26" spans="1:20" ht="3" customHeight="1" x14ac:dyDescent="0.2"/>
    <row r="27" spans="1:20" ht="8" customHeight="1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</row>
    <row r="28" spans="1:20" ht="23" customHeight="1" x14ac:dyDescent="0.2">
      <c r="F28" s="6" t="s">
        <v>129</v>
      </c>
      <c r="G28" s="6"/>
      <c r="H28" s="6"/>
    </row>
    <row r="29" spans="1:20" x14ac:dyDescent="0.2">
      <c r="F29" s="6" t="s">
        <v>131</v>
      </c>
      <c r="G29" s="6"/>
      <c r="H29" s="6"/>
    </row>
    <row r="30" spans="1:20" ht="19" x14ac:dyDescent="0.25">
      <c r="B30" s="7" t="s">
        <v>128</v>
      </c>
      <c r="C30" s="7"/>
      <c r="F30" s="84" t="s">
        <v>134</v>
      </c>
      <c r="G30" s="7"/>
      <c r="H30" s="7"/>
      <c r="I30" s="95" t="s">
        <v>17</v>
      </c>
      <c r="J30" s="95"/>
    </row>
    <row r="31" spans="1:20" x14ac:dyDescent="0.2">
      <c r="B31" s="16" t="s">
        <v>5</v>
      </c>
      <c r="C31" s="16"/>
      <c r="D31" s="74"/>
      <c r="F31" s="76" t="s">
        <v>0</v>
      </c>
      <c r="I31" s="98" t="s">
        <v>121</v>
      </c>
      <c r="J31" s="98" t="s">
        <v>122</v>
      </c>
      <c r="K31" s="100" t="s">
        <v>123</v>
      </c>
    </row>
    <row r="32" spans="1:20" x14ac:dyDescent="0.2">
      <c r="B32" s="9" t="s">
        <v>8</v>
      </c>
      <c r="C32" s="9"/>
      <c r="D32" s="72">
        <f>I47</f>
        <v>0</v>
      </c>
      <c r="H32" s="32" t="s">
        <v>16</v>
      </c>
      <c r="I32" s="99"/>
      <c r="J32" s="99"/>
      <c r="K32" s="101"/>
      <c r="S32" s="26"/>
      <c r="T32" s="26"/>
    </row>
    <row r="33" spans="2:19" x14ac:dyDescent="0.2">
      <c r="B33" s="16" t="s">
        <v>127</v>
      </c>
      <c r="C33" s="16"/>
      <c r="D33" s="68">
        <f>D31-D32</f>
        <v>0</v>
      </c>
      <c r="F33" s="2" t="s">
        <v>46</v>
      </c>
      <c r="G33" s="2"/>
      <c r="H33" s="75"/>
      <c r="I33" s="75"/>
      <c r="J33" s="75"/>
      <c r="K33" s="12">
        <f>H33</f>
        <v>0</v>
      </c>
      <c r="S33" s="14"/>
    </row>
    <row r="34" spans="2:19" ht="16" customHeight="1" x14ac:dyDescent="0.2">
      <c r="B34" s="93" t="s">
        <v>133</v>
      </c>
      <c r="C34" s="93"/>
      <c r="D34" s="94">
        <f>D33+H36+H37+I40--200*12-D40</f>
        <v>2400</v>
      </c>
      <c r="F34" s="5" t="s">
        <v>113</v>
      </c>
      <c r="G34" s="5"/>
      <c r="H34" s="40">
        <f>D39+D43</f>
        <v>0</v>
      </c>
      <c r="I34" s="24">
        <f>H34-D40-D43</f>
        <v>0</v>
      </c>
      <c r="J34" s="10"/>
      <c r="K34" s="12">
        <f>I34</f>
        <v>0</v>
      </c>
      <c r="S34" s="14"/>
    </row>
    <row r="35" spans="2:19" ht="16" customHeight="1" x14ac:dyDescent="0.2">
      <c r="B35" s="93"/>
      <c r="C35" s="93"/>
      <c r="D35" s="94"/>
      <c r="E35" s="8"/>
      <c r="F35" s="38" t="s">
        <v>25</v>
      </c>
      <c r="G35" s="38"/>
      <c r="H35" s="39">
        <v>0</v>
      </c>
      <c r="I35" s="39">
        <v>0</v>
      </c>
      <c r="J35" s="10"/>
      <c r="K35" s="12"/>
      <c r="S35" s="14"/>
    </row>
    <row r="36" spans="2:19" x14ac:dyDescent="0.2">
      <c r="B36" s="27"/>
      <c r="C36" s="27"/>
      <c r="D36" s="82"/>
      <c r="F36" s="2" t="s">
        <v>2</v>
      </c>
      <c r="G36" s="2"/>
      <c r="H36" s="23"/>
      <c r="I36" s="23"/>
      <c r="J36" s="10"/>
      <c r="K36" s="12">
        <f t="shared" ref="K36:K37" si="0">I36+J36</f>
        <v>0</v>
      </c>
      <c r="S36" s="14"/>
    </row>
    <row r="37" spans="2:19" x14ac:dyDescent="0.2">
      <c r="F37" s="2" t="s">
        <v>1</v>
      </c>
      <c r="G37" s="2"/>
      <c r="H37" s="23"/>
      <c r="I37" s="23">
        <f>J57</f>
        <v>0</v>
      </c>
      <c r="J37" s="10"/>
      <c r="K37" s="12">
        <f t="shared" si="0"/>
        <v>0</v>
      </c>
      <c r="S37" s="14"/>
    </row>
    <row r="38" spans="2:19" x14ac:dyDescent="0.2">
      <c r="B38" s="18" t="s">
        <v>92</v>
      </c>
      <c r="C38" s="18"/>
      <c r="F38" s="64" t="s">
        <v>124</v>
      </c>
      <c r="G38" s="64"/>
      <c r="H38" s="64"/>
      <c r="I38" s="64"/>
      <c r="J38" s="77">
        <v>0.5</v>
      </c>
      <c r="S38" s="14"/>
    </row>
    <row r="39" spans="2:19" x14ac:dyDescent="0.2">
      <c r="B39" s="63" t="s">
        <v>100</v>
      </c>
      <c r="C39" s="27"/>
      <c r="D39" s="28"/>
      <c r="F39" s="3" t="s">
        <v>11</v>
      </c>
      <c r="G39" s="3"/>
      <c r="H39" s="3"/>
      <c r="I39" s="11">
        <v>0</v>
      </c>
      <c r="J39" s="11">
        <f>J38*D42</f>
        <v>0</v>
      </c>
      <c r="K39" s="12">
        <f>I39+J39</f>
        <v>0</v>
      </c>
      <c r="S39" s="14"/>
    </row>
    <row r="40" spans="2:19" x14ac:dyDescent="0.2">
      <c r="B40" s="69" t="s">
        <v>105</v>
      </c>
      <c r="C40" s="70"/>
      <c r="D40" s="73"/>
      <c r="F40" s="2" t="s">
        <v>3</v>
      </c>
      <c r="G40" s="2"/>
      <c r="H40" s="2"/>
      <c r="I40" s="23"/>
      <c r="J40" s="10"/>
      <c r="K40" s="12">
        <f>I40+J40</f>
        <v>0</v>
      </c>
      <c r="M40" s="1"/>
      <c r="S40" s="14"/>
    </row>
    <row r="41" spans="2:19" x14ac:dyDescent="0.2">
      <c r="B41" t="s">
        <v>104</v>
      </c>
      <c r="D41" s="12">
        <f>D31-D39</f>
        <v>0</v>
      </c>
      <c r="F41" t="s">
        <v>7</v>
      </c>
      <c r="I41" s="13">
        <f>SUM(I33:I40)</f>
        <v>0</v>
      </c>
      <c r="J41" s="13">
        <f>J33+J39</f>
        <v>0</v>
      </c>
      <c r="K41" s="80">
        <f>I41+J41</f>
        <v>0</v>
      </c>
      <c r="M41" s="1"/>
      <c r="S41" s="14"/>
    </row>
    <row r="42" spans="2:19" x14ac:dyDescent="0.2">
      <c r="B42" s="3" t="s">
        <v>130</v>
      </c>
      <c r="C42" s="3"/>
      <c r="D42" s="28"/>
      <c r="F42" t="s">
        <v>114</v>
      </c>
      <c r="I42" s="83">
        <f>17750+MIN(IF(K41&gt;150000,0,(75000-ROUNDUP(K41-75000,-3))*0.08),6000)</f>
        <v>23750</v>
      </c>
      <c r="J42" s="12"/>
      <c r="K42" s="81" t="s">
        <v>132</v>
      </c>
      <c r="S42" s="14"/>
    </row>
    <row r="43" spans="2:19" x14ac:dyDescent="0.2">
      <c r="B43" t="s">
        <v>103</v>
      </c>
      <c r="D43" s="53">
        <f>D41-D42</f>
        <v>0</v>
      </c>
      <c r="F43" s="78" t="s">
        <v>125</v>
      </c>
      <c r="S43" s="14"/>
    </row>
    <row r="44" spans="2:19" x14ac:dyDescent="0.2">
      <c r="B44" s="64" t="s">
        <v>107</v>
      </c>
      <c r="F44" t="s">
        <v>4</v>
      </c>
      <c r="I44" s="13">
        <f>I41-I42-I43</f>
        <v>-23750</v>
      </c>
      <c r="J44" s="12">
        <f>J41</f>
        <v>0</v>
      </c>
      <c r="K44" s="12">
        <f>I44+J44</f>
        <v>-23750</v>
      </c>
      <c r="S44" s="14"/>
    </row>
    <row r="45" spans="2:19" ht="16" customHeight="1" x14ac:dyDescent="0.2">
      <c r="F45" t="s">
        <v>108</v>
      </c>
      <c r="I45" s="13">
        <f>I70</f>
        <v>0</v>
      </c>
      <c r="J45" s="13">
        <f>IF(K44&gt;48350,J44*0.15,0)</f>
        <v>0</v>
      </c>
      <c r="S45" s="14"/>
    </row>
    <row r="46" spans="2:19" ht="16" customHeight="1" x14ac:dyDescent="0.2">
      <c r="B46" s="25" t="s">
        <v>106</v>
      </c>
      <c r="C46" s="25"/>
      <c r="F46" t="s">
        <v>143</v>
      </c>
      <c r="I46" s="12"/>
      <c r="J46" s="12">
        <f>IF(K41&gt;200000,0.038*IF(K33+K39&gt;K41-200000,K41-200000,K33+K39),0)</f>
        <v>0</v>
      </c>
      <c r="R46" s="25"/>
      <c r="S46" s="14"/>
    </row>
    <row r="47" spans="2:19" x14ac:dyDescent="0.2">
      <c r="B47" t="s">
        <v>47</v>
      </c>
      <c r="D47" s="12">
        <f>D39</f>
        <v>0</v>
      </c>
      <c r="F47" t="s">
        <v>9</v>
      </c>
      <c r="I47" s="102">
        <f>I45+J45+J46</f>
        <v>0</v>
      </c>
      <c r="J47" s="102"/>
      <c r="K47" s="12"/>
      <c r="R47" s="25"/>
      <c r="S47" s="14"/>
    </row>
    <row r="48" spans="2:19" x14ac:dyDescent="0.2">
      <c r="B48" t="s">
        <v>101</v>
      </c>
      <c r="D48" s="12">
        <f>D42</f>
        <v>0</v>
      </c>
      <c r="E48" s="15"/>
      <c r="S48" s="14"/>
    </row>
    <row r="49" spans="2:19" x14ac:dyDescent="0.2">
      <c r="B49" t="s">
        <v>10</v>
      </c>
      <c r="D49" s="12">
        <f>D43</f>
        <v>0</v>
      </c>
      <c r="F49" s="44" t="s">
        <v>18</v>
      </c>
      <c r="G49" s="44"/>
      <c r="H49" s="29"/>
      <c r="I49" s="29"/>
      <c r="J49" s="29"/>
      <c r="S49" s="14"/>
    </row>
    <row r="50" spans="2:19" x14ac:dyDescent="0.2">
      <c r="B50" s="16" t="s">
        <v>91</v>
      </c>
      <c r="C50" s="16"/>
      <c r="D50" s="61">
        <f>SUM(D47:D49)</f>
        <v>0</v>
      </c>
      <c r="F50" s="29" t="s">
        <v>19</v>
      </c>
      <c r="G50" s="29"/>
      <c r="H50" s="45">
        <f>H37/2</f>
        <v>0</v>
      </c>
      <c r="I50" s="29"/>
      <c r="J50" s="29"/>
      <c r="S50" s="14"/>
    </row>
    <row r="51" spans="2:19" x14ac:dyDescent="0.2">
      <c r="F51" s="29" t="s">
        <v>20</v>
      </c>
      <c r="G51" s="29"/>
      <c r="H51" s="45">
        <f>K34+K36+K39+K40</f>
        <v>0</v>
      </c>
      <c r="I51" s="29"/>
      <c r="J51" s="29"/>
      <c r="S51" s="14"/>
    </row>
    <row r="52" spans="2:19" x14ac:dyDescent="0.2">
      <c r="B52" s="44" t="s">
        <v>93</v>
      </c>
      <c r="C52" s="29"/>
      <c r="D52" s="29"/>
      <c r="F52" s="29" t="s">
        <v>21</v>
      </c>
      <c r="G52" s="29"/>
      <c r="H52" s="60">
        <f>H50+H51</f>
        <v>0</v>
      </c>
      <c r="I52" s="36" t="s">
        <v>24</v>
      </c>
      <c r="J52" s="46" t="s">
        <v>27</v>
      </c>
      <c r="S52" s="14"/>
    </row>
    <row r="53" spans="2:19" x14ac:dyDescent="0.2">
      <c r="B53" s="29" t="s">
        <v>94</v>
      </c>
      <c r="C53" s="29"/>
      <c r="D53" s="45">
        <v>15750</v>
      </c>
      <c r="F53" s="29" t="s">
        <v>26</v>
      </c>
      <c r="G53" s="29"/>
      <c r="H53" s="45">
        <v>25000</v>
      </c>
      <c r="I53" s="47">
        <v>0</v>
      </c>
      <c r="J53" s="45">
        <f>H53*I53</f>
        <v>0</v>
      </c>
      <c r="S53" s="14"/>
    </row>
    <row r="54" spans="2:19" x14ac:dyDescent="0.2">
      <c r="B54" s="29" t="s">
        <v>95</v>
      </c>
      <c r="C54" s="29"/>
      <c r="D54" s="45">
        <v>2000</v>
      </c>
      <c r="F54" s="29" t="s">
        <v>22</v>
      </c>
      <c r="G54" s="29"/>
      <c r="H54" s="45">
        <f>MAX(0,IF(H52-H53&lt;0,0,IF(H52-H53&gt;9000,9000,H52-H53)))</f>
        <v>0</v>
      </c>
      <c r="I54" s="47">
        <v>0.5</v>
      </c>
      <c r="J54" s="45">
        <f t="shared" ref="J54:J55" si="1">H54*I54</f>
        <v>0</v>
      </c>
      <c r="S54" s="14"/>
    </row>
    <row r="55" spans="2:19" x14ac:dyDescent="0.2">
      <c r="B55" s="29" t="s">
        <v>96</v>
      </c>
      <c r="C55" s="29"/>
      <c r="D55" s="48" t="s">
        <v>97</v>
      </c>
      <c r="F55" s="29" t="s">
        <v>23</v>
      </c>
      <c r="G55" s="29"/>
      <c r="H55" s="45">
        <f>IF(H54=0,0,H52-H53-H54)</f>
        <v>0</v>
      </c>
      <c r="I55" s="47">
        <v>0.85</v>
      </c>
      <c r="J55" s="45">
        <f t="shared" si="1"/>
        <v>0</v>
      </c>
      <c r="S55" s="14"/>
    </row>
    <row r="56" spans="2:19" x14ac:dyDescent="0.2">
      <c r="B56" s="29" t="s">
        <v>98</v>
      </c>
      <c r="C56" s="29"/>
      <c r="D56" s="62" t="s">
        <v>99</v>
      </c>
      <c r="F56" s="29"/>
      <c r="G56" s="29"/>
      <c r="H56" s="45"/>
      <c r="I56" s="47" t="s">
        <v>102</v>
      </c>
      <c r="J56" s="60">
        <f>SUM(J53:J55)</f>
        <v>0</v>
      </c>
      <c r="S56" s="14"/>
    </row>
    <row r="57" spans="2:19" x14ac:dyDescent="0.2">
      <c r="B57" s="29"/>
      <c r="C57" s="29"/>
      <c r="D57" s="79" t="s">
        <v>126</v>
      </c>
      <c r="F57" s="29"/>
      <c r="G57" s="29"/>
      <c r="H57" s="65"/>
      <c r="I57" s="66" t="s">
        <v>28</v>
      </c>
      <c r="J57" s="67">
        <f>IF(SUM(J53:J55)&lt;H37*0.85,SUM(J53:J55),H37*0.85)</f>
        <v>0</v>
      </c>
      <c r="S57" s="14"/>
    </row>
    <row r="58" spans="2:19" x14ac:dyDescent="0.2">
      <c r="F58" s="29"/>
      <c r="G58" s="29"/>
      <c r="H58" s="29"/>
      <c r="I58" s="29" t="s">
        <v>29</v>
      </c>
      <c r="J58" s="49" t="e">
        <f>J57/H37</f>
        <v>#DIV/0!</v>
      </c>
      <c r="S58" s="14"/>
    </row>
    <row r="59" spans="2:19" x14ac:dyDescent="0.2">
      <c r="J59" s="34"/>
      <c r="S59" s="14"/>
    </row>
    <row r="60" spans="2:19" x14ac:dyDescent="0.2">
      <c r="D60" s="31"/>
      <c r="G60" s="29"/>
      <c r="H60" s="29"/>
      <c r="I60" s="50"/>
      <c r="J60" s="51" t="s">
        <v>31</v>
      </c>
      <c r="S60" s="14"/>
    </row>
    <row r="61" spans="2:19" x14ac:dyDescent="0.2">
      <c r="D61" s="31"/>
      <c r="G61" s="29" t="s">
        <v>30</v>
      </c>
      <c r="H61" s="46"/>
      <c r="I61" s="46"/>
      <c r="J61" s="52" t="s">
        <v>32</v>
      </c>
      <c r="S61" s="14"/>
    </row>
    <row r="62" spans="2:19" x14ac:dyDescent="0.2">
      <c r="D62" s="31"/>
      <c r="G62" s="59" t="s">
        <v>89</v>
      </c>
      <c r="H62" s="59" t="s">
        <v>88</v>
      </c>
      <c r="I62" s="59" t="s">
        <v>90</v>
      </c>
      <c r="J62" s="51"/>
      <c r="S62" s="14"/>
    </row>
    <row r="63" spans="2:19" x14ac:dyDescent="0.2">
      <c r="D63" s="31"/>
      <c r="G63" s="58">
        <v>0.1</v>
      </c>
      <c r="H63" s="53">
        <f>23850/2</f>
        <v>11925</v>
      </c>
      <c r="I63" s="53">
        <f>MAX(0,IF($I$44-H63&gt;=H63,G63*H63,G63*$I$44))</f>
        <v>0</v>
      </c>
      <c r="J63" s="54">
        <f>G63*H63</f>
        <v>1192.5</v>
      </c>
      <c r="K63" s="85">
        <f>J63</f>
        <v>1192.5</v>
      </c>
      <c r="S63" s="14"/>
    </row>
    <row r="64" spans="2:19" x14ac:dyDescent="0.2">
      <c r="D64" s="31"/>
      <c r="G64" s="58">
        <v>0.12</v>
      </c>
      <c r="H64" s="53">
        <f>96950/2</f>
        <v>48475</v>
      </c>
      <c r="I64" s="53">
        <f t="shared" ref="I64:I69" si="2">MAX(0,IF($I$44&gt;=H64,G64*(H64-H63),G64*($I$44-H63)))</f>
        <v>0</v>
      </c>
      <c r="J64" s="55">
        <f>G64*(H64-H63)</f>
        <v>4386</v>
      </c>
      <c r="K64" s="85">
        <f>J64+K63</f>
        <v>5578.5</v>
      </c>
      <c r="S64" s="14"/>
    </row>
    <row r="65" spans="1:19" x14ac:dyDescent="0.2">
      <c r="D65" s="31"/>
      <c r="G65" s="58">
        <v>0.22</v>
      </c>
      <c r="H65" s="53">
        <f>206700/2</f>
        <v>103350</v>
      </c>
      <c r="I65" s="53">
        <f t="shared" si="2"/>
        <v>0</v>
      </c>
      <c r="J65" s="55">
        <f>G65*(H65-H64)</f>
        <v>12072.5</v>
      </c>
      <c r="K65" s="85">
        <f t="shared" ref="K65:K68" si="3">J65+K64</f>
        <v>17651</v>
      </c>
      <c r="S65" s="14"/>
    </row>
    <row r="66" spans="1:19" x14ac:dyDescent="0.2">
      <c r="D66" s="31"/>
      <c r="G66" s="58">
        <v>0.24</v>
      </c>
      <c r="H66" s="53">
        <f>394600/2</f>
        <v>197300</v>
      </c>
      <c r="I66" s="53">
        <f t="shared" si="2"/>
        <v>0</v>
      </c>
      <c r="J66" s="55">
        <f>G66*(H66-H65)</f>
        <v>22548</v>
      </c>
      <c r="K66" s="85">
        <f t="shared" si="3"/>
        <v>40199</v>
      </c>
      <c r="S66" s="14"/>
    </row>
    <row r="67" spans="1:19" x14ac:dyDescent="0.2">
      <c r="D67" s="31"/>
      <c r="G67" s="58">
        <v>0.32</v>
      </c>
      <c r="H67" s="53">
        <f>501050/2</f>
        <v>250525</v>
      </c>
      <c r="I67" s="53">
        <f t="shared" si="2"/>
        <v>0</v>
      </c>
      <c r="J67" s="55">
        <f>G67*(H67-H66)</f>
        <v>17032</v>
      </c>
      <c r="K67" s="85">
        <f t="shared" si="3"/>
        <v>57231</v>
      </c>
      <c r="S67" s="14"/>
    </row>
    <row r="68" spans="1:19" x14ac:dyDescent="0.2">
      <c r="D68" s="31"/>
      <c r="G68" s="58">
        <v>0.35</v>
      </c>
      <c r="H68" s="53">
        <v>626350</v>
      </c>
      <c r="I68" s="53">
        <f t="shared" si="2"/>
        <v>0</v>
      </c>
      <c r="J68" s="55">
        <f>G68*(H68-H67)</f>
        <v>131538.75</v>
      </c>
      <c r="K68" s="85">
        <f t="shared" si="3"/>
        <v>188769.75</v>
      </c>
      <c r="S68" s="14"/>
    </row>
    <row r="69" spans="1:19" x14ac:dyDescent="0.2">
      <c r="D69" s="31"/>
      <c r="G69" s="58">
        <v>0.37</v>
      </c>
      <c r="H69" s="29"/>
      <c r="I69" s="53">
        <f t="shared" si="2"/>
        <v>0</v>
      </c>
      <c r="J69" s="56"/>
      <c r="S69" s="14"/>
    </row>
    <row r="70" spans="1:19" x14ac:dyDescent="0.2">
      <c r="A70" s="21" t="s">
        <v>144</v>
      </c>
      <c r="D70" s="31"/>
      <c r="G70" s="29"/>
      <c r="H70" s="48" t="s">
        <v>33</v>
      </c>
      <c r="I70" s="57">
        <f>SUM(I63:I69)</f>
        <v>0</v>
      </c>
      <c r="J70" s="56"/>
      <c r="S70" s="14"/>
    </row>
    <row r="71" spans="1:19" x14ac:dyDescent="0.2">
      <c r="D71" s="31"/>
      <c r="S71" s="14"/>
    </row>
    <row r="72" spans="1:19" x14ac:dyDescent="0.2">
      <c r="D72" s="31"/>
      <c r="S72" s="14"/>
    </row>
    <row r="73" spans="1:19" x14ac:dyDescent="0.2">
      <c r="K73" s="9"/>
      <c r="L73" s="20"/>
    </row>
    <row r="74" spans="1:19" x14ac:dyDescent="0.2">
      <c r="K74" s="17"/>
      <c r="L74" s="19"/>
    </row>
    <row r="75" spans="1:19" x14ac:dyDescent="0.2">
      <c r="L75" s="14"/>
    </row>
    <row r="76" spans="1:19" ht="25" customHeight="1" x14ac:dyDescent="0.2">
      <c r="K76" s="96"/>
      <c r="L76" s="97"/>
    </row>
    <row r="77" spans="1:19" x14ac:dyDescent="0.2">
      <c r="K77" s="96"/>
      <c r="L77" s="97"/>
    </row>
    <row r="78" spans="1:19" x14ac:dyDescent="0.2">
      <c r="L78" s="14"/>
    </row>
    <row r="79" spans="1:19" x14ac:dyDescent="0.2">
      <c r="L79" s="14"/>
    </row>
    <row r="80" spans="1:19" x14ac:dyDescent="0.2">
      <c r="L80" s="14"/>
    </row>
  </sheetData>
  <mergeCells count="9">
    <mergeCell ref="B34:C35"/>
    <mergeCell ref="D34:D35"/>
    <mergeCell ref="I30:J30"/>
    <mergeCell ref="K76:K77"/>
    <mergeCell ref="L76:L77"/>
    <mergeCell ref="I31:I32"/>
    <mergeCell ref="J31:J32"/>
    <mergeCell ref="K31:K32"/>
    <mergeCell ref="I47:J47"/>
  </mergeCells>
  <phoneticPr fontId="12" type="noConversion"/>
  <pageMargins left="0.7" right="0.7" top="0.75" bottom="0.75" header="0.3" footer="0.3"/>
  <pageSetup scale="61" orientation="portrait" horizontalDpi="0" verticalDpi="0"/>
  <headerFooter>
    <oddHeader>&amp;C&amp;"Roboto Regular,Regular"&amp;14&amp;K000000Tax return 2025 for Single filer over age 65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7517D-0304-8C4E-AECA-570F8FDDF7D7}">
  <dimension ref="B3:H12"/>
  <sheetViews>
    <sheetView workbookViewId="0">
      <selection activeCell="G19" sqref="G19"/>
    </sheetView>
  </sheetViews>
  <sheetFormatPr baseColWidth="10" defaultRowHeight="16" x14ac:dyDescent="0.2"/>
  <cols>
    <col min="1" max="2" width="10.83203125" style="87"/>
    <col min="3" max="3" width="16.1640625" style="87" customWidth="1"/>
    <col min="4" max="4" width="11.1640625" style="87" bestFit="1" customWidth="1"/>
    <col min="5" max="5" width="1.6640625" style="87" customWidth="1"/>
    <col min="6" max="6" width="10.83203125" style="87"/>
    <col min="7" max="7" width="16.1640625" style="87" customWidth="1"/>
    <col min="8" max="8" width="11.1640625" style="87" customWidth="1"/>
    <col min="9" max="16384" width="10.83203125" style="87"/>
  </cols>
  <sheetData>
    <row r="3" spans="2:8" x14ac:dyDescent="0.2">
      <c r="B3" s="103" t="s">
        <v>153</v>
      </c>
      <c r="F3" s="103" t="s">
        <v>154</v>
      </c>
    </row>
    <row r="4" spans="2:8" x14ac:dyDescent="0.2">
      <c r="B4" s="104" t="s">
        <v>145</v>
      </c>
      <c r="C4" s="86"/>
      <c r="D4" s="86"/>
      <c r="F4" s="86" t="s">
        <v>145</v>
      </c>
      <c r="G4" s="86"/>
      <c r="H4" s="86"/>
    </row>
    <row r="5" spans="2:8" x14ac:dyDescent="0.2">
      <c r="B5" s="88" t="s">
        <v>146</v>
      </c>
      <c r="C5" s="89"/>
      <c r="D5" s="90">
        <v>111000</v>
      </c>
      <c r="F5" s="88" t="s">
        <v>152</v>
      </c>
      <c r="G5" s="89"/>
      <c r="H5" s="90">
        <f>2*D5</f>
        <v>222000</v>
      </c>
    </row>
    <row r="6" spans="2:8" x14ac:dyDescent="0.2">
      <c r="B6" s="88" t="s">
        <v>147</v>
      </c>
      <c r="C6" s="89"/>
      <c r="D6" s="90">
        <v>140000</v>
      </c>
      <c r="F6" s="88" t="s">
        <v>155</v>
      </c>
      <c r="G6" s="89"/>
      <c r="H6" s="90">
        <f>2*D6</f>
        <v>280000</v>
      </c>
    </row>
    <row r="7" spans="2:8" x14ac:dyDescent="0.2">
      <c r="B7" s="88" t="s">
        <v>148</v>
      </c>
      <c r="C7" s="89"/>
      <c r="D7" s="90">
        <v>174000</v>
      </c>
      <c r="F7" s="88" t="s">
        <v>156</v>
      </c>
      <c r="G7" s="89"/>
      <c r="H7" s="90">
        <f>2*D7</f>
        <v>348000</v>
      </c>
    </row>
    <row r="8" spans="2:8" x14ac:dyDescent="0.2">
      <c r="B8" s="88" t="s">
        <v>149</v>
      </c>
      <c r="C8" s="89"/>
      <c r="D8" s="90">
        <v>209000</v>
      </c>
      <c r="F8" s="88" t="s">
        <v>157</v>
      </c>
      <c r="G8" s="89"/>
      <c r="H8" s="90">
        <f>2*D8</f>
        <v>418000</v>
      </c>
    </row>
    <row r="9" spans="2:8" x14ac:dyDescent="0.2">
      <c r="B9" s="88" t="s">
        <v>158</v>
      </c>
      <c r="C9" s="89"/>
      <c r="D9" s="90">
        <v>500000</v>
      </c>
      <c r="F9" s="88" t="s">
        <v>159</v>
      </c>
      <c r="G9" s="89"/>
      <c r="H9" s="90">
        <v>750000</v>
      </c>
    </row>
    <row r="10" spans="2:8" x14ac:dyDescent="0.2">
      <c r="B10" s="91" t="s">
        <v>150</v>
      </c>
      <c r="C10" s="86"/>
      <c r="D10" s="92"/>
      <c r="F10" s="91" t="s">
        <v>150</v>
      </c>
      <c r="G10" s="86"/>
      <c r="H10" s="92"/>
    </row>
    <row r="12" spans="2:8" x14ac:dyDescent="0.2">
      <c r="E12" s="87" t="s">
        <v>151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F9EB6-E1D9-9A4C-902E-D77662E3D312}">
  <sheetPr>
    <pageSetUpPr fitToPage="1"/>
  </sheetPr>
  <dimension ref="A2:U74"/>
  <sheetViews>
    <sheetView topLeftCell="A17" workbookViewId="0">
      <selection activeCell="P48" sqref="P48"/>
    </sheetView>
  </sheetViews>
  <sheetFormatPr baseColWidth="10" defaultRowHeight="16" x14ac:dyDescent="0.2"/>
  <cols>
    <col min="1" max="1" width="2.1640625" customWidth="1"/>
    <col min="2" max="2" width="1.83203125" customWidth="1"/>
    <col min="9" max="9" width="9.33203125" customWidth="1"/>
    <col min="12" max="12" width="6" customWidth="1"/>
    <col min="14" max="14" width="2.83203125" customWidth="1"/>
    <col min="16" max="16" width="11.5" customWidth="1"/>
    <col min="17" max="17" width="12.5" bestFit="1" customWidth="1"/>
    <col min="18" max="18" width="12.33203125" customWidth="1"/>
    <col min="19" max="19" width="11" bestFit="1" customWidth="1"/>
    <col min="20" max="20" width="17.6640625" customWidth="1"/>
    <col min="21" max="21" width="14.6640625" customWidth="1"/>
  </cols>
  <sheetData>
    <row r="2" spans="1:3" ht="19" x14ac:dyDescent="0.25">
      <c r="B2" s="7" t="s">
        <v>45</v>
      </c>
      <c r="C2" s="7"/>
    </row>
    <row r="4" spans="1:3" x14ac:dyDescent="0.2">
      <c r="A4" s="33" t="s">
        <v>50</v>
      </c>
      <c r="B4" s="18" t="s">
        <v>48</v>
      </c>
      <c r="C4" s="18"/>
    </row>
    <row r="5" spans="1:3" x14ac:dyDescent="0.2">
      <c r="B5" t="s">
        <v>51</v>
      </c>
    </row>
    <row r="6" spans="1:3" x14ac:dyDescent="0.2">
      <c r="B6" t="s">
        <v>52</v>
      </c>
    </row>
    <row r="7" spans="1:3" ht="18" customHeight="1" x14ac:dyDescent="0.2">
      <c r="B7" t="s">
        <v>49</v>
      </c>
    </row>
    <row r="8" spans="1:3" x14ac:dyDescent="0.2">
      <c r="B8" t="s">
        <v>53</v>
      </c>
    </row>
    <row r="11" spans="1:3" x14ac:dyDescent="0.2">
      <c r="A11" s="33" t="s">
        <v>50</v>
      </c>
      <c r="B11" t="s">
        <v>64</v>
      </c>
    </row>
    <row r="12" spans="1:3" x14ac:dyDescent="0.2">
      <c r="B12" t="s">
        <v>65</v>
      </c>
    </row>
    <row r="13" spans="1:3" x14ac:dyDescent="0.2">
      <c r="B13" t="s">
        <v>66</v>
      </c>
    </row>
    <row r="14" spans="1:3" x14ac:dyDescent="0.2">
      <c r="B14" t="s">
        <v>63</v>
      </c>
    </row>
    <row r="18" spans="1:3" x14ac:dyDescent="0.2">
      <c r="A18" s="33" t="s">
        <v>50</v>
      </c>
      <c r="B18" s="18" t="s">
        <v>44</v>
      </c>
      <c r="C18" s="18"/>
    </row>
    <row r="19" spans="1:3" x14ac:dyDescent="0.2">
      <c r="C19" t="s">
        <v>41</v>
      </c>
    </row>
    <row r="20" spans="1:3" x14ac:dyDescent="0.2">
      <c r="C20" t="s">
        <v>74</v>
      </c>
    </row>
    <row r="21" spans="1:3" ht="10" customHeight="1" x14ac:dyDescent="0.2"/>
    <row r="22" spans="1:3" x14ac:dyDescent="0.2">
      <c r="C22" t="s">
        <v>67</v>
      </c>
    </row>
    <row r="23" spans="1:3" x14ac:dyDescent="0.2">
      <c r="C23" t="s">
        <v>68</v>
      </c>
    </row>
    <row r="24" spans="1:3" x14ac:dyDescent="0.2">
      <c r="C24" t="s">
        <v>71</v>
      </c>
    </row>
    <row r="25" spans="1:3" ht="20" customHeight="1" x14ac:dyDescent="0.2">
      <c r="C25" t="s">
        <v>72</v>
      </c>
    </row>
    <row r="26" spans="1:3" x14ac:dyDescent="0.2">
      <c r="C26" t="s">
        <v>69</v>
      </c>
    </row>
    <row r="27" spans="1:3" x14ac:dyDescent="0.2">
      <c r="C27" t="s">
        <v>70</v>
      </c>
    </row>
    <row r="28" spans="1:3" x14ac:dyDescent="0.2">
      <c r="C28" t="s">
        <v>73</v>
      </c>
    </row>
    <row r="29" spans="1:3" ht="19" customHeight="1" x14ac:dyDescent="0.2">
      <c r="C29" t="s">
        <v>75</v>
      </c>
    </row>
    <row r="30" spans="1:3" x14ac:dyDescent="0.2">
      <c r="C30" t="s">
        <v>76</v>
      </c>
    </row>
    <row r="31" spans="1:3" x14ac:dyDescent="0.2">
      <c r="C31" t="s">
        <v>77</v>
      </c>
    </row>
    <row r="32" spans="1:3" x14ac:dyDescent="0.2">
      <c r="C32" t="s">
        <v>78</v>
      </c>
    </row>
    <row r="33" spans="1:19" x14ac:dyDescent="0.2">
      <c r="C33" t="s">
        <v>79</v>
      </c>
    </row>
    <row r="36" spans="1:19" x14ac:dyDescent="0.2">
      <c r="A36" s="33" t="s">
        <v>50</v>
      </c>
      <c r="B36" t="s">
        <v>85</v>
      </c>
    </row>
    <row r="37" spans="1:19" x14ac:dyDescent="0.2">
      <c r="B37" t="s">
        <v>80</v>
      </c>
    </row>
    <row r="38" spans="1:19" x14ac:dyDescent="0.2">
      <c r="B38" t="s">
        <v>81</v>
      </c>
    </row>
    <row r="39" spans="1:19" x14ac:dyDescent="0.2">
      <c r="B39" t="s">
        <v>82</v>
      </c>
    </row>
    <row r="40" spans="1:19" x14ac:dyDescent="0.2">
      <c r="B40" t="s">
        <v>83</v>
      </c>
    </row>
    <row r="41" spans="1:19" x14ac:dyDescent="0.2">
      <c r="B41" t="s">
        <v>84</v>
      </c>
    </row>
    <row r="43" spans="1:19" x14ac:dyDescent="0.2">
      <c r="A43" s="33" t="s">
        <v>50</v>
      </c>
      <c r="B43" s="18" t="s">
        <v>86</v>
      </c>
    </row>
    <row r="44" spans="1:19" x14ac:dyDescent="0.2">
      <c r="B44" s="18" t="s">
        <v>87</v>
      </c>
    </row>
    <row r="48" spans="1:19" ht="17" x14ac:dyDescent="0.2">
      <c r="P48" s="42" t="s">
        <v>54</v>
      </c>
      <c r="Q48" s="29"/>
      <c r="R48" s="29"/>
      <c r="S48" s="29"/>
    </row>
    <row r="49" spans="16:19" ht="17" x14ac:dyDescent="0.2">
      <c r="P49" s="42" t="s">
        <v>55</v>
      </c>
      <c r="Q49" s="29"/>
      <c r="R49" s="29"/>
      <c r="S49" s="29"/>
    </row>
    <row r="50" spans="16:19" ht="17" x14ac:dyDescent="0.2">
      <c r="P50" s="42" t="s">
        <v>56</v>
      </c>
      <c r="Q50" s="42"/>
      <c r="R50" s="42"/>
      <c r="S50" s="42"/>
    </row>
    <row r="51" spans="16:19" ht="7" customHeight="1" x14ac:dyDescent="0.2">
      <c r="P51" s="29"/>
      <c r="Q51" s="29"/>
      <c r="R51" s="29"/>
      <c r="S51" s="29"/>
    </row>
    <row r="52" spans="16:19" x14ac:dyDescent="0.2">
      <c r="P52" s="35" t="s">
        <v>42</v>
      </c>
      <c r="Q52" s="41" t="s">
        <v>57</v>
      </c>
      <c r="R52" s="36" t="s">
        <v>40</v>
      </c>
      <c r="S52" s="36" t="s">
        <v>39</v>
      </c>
    </row>
    <row r="53" spans="16:19" x14ac:dyDescent="0.2">
      <c r="P53" s="29" t="s">
        <v>34</v>
      </c>
      <c r="Q53" s="37">
        <v>111000</v>
      </c>
      <c r="R53" s="37">
        <f>MROUND(1052.4*(1+0.026)*(1+0.02),10)</f>
        <v>1100</v>
      </c>
      <c r="S53" s="37">
        <f>R53</f>
        <v>1100</v>
      </c>
    </row>
    <row r="54" spans="16:19" x14ac:dyDescent="0.2">
      <c r="P54" s="29" t="s">
        <v>35</v>
      </c>
      <c r="Q54" s="37">
        <v>140000</v>
      </c>
      <c r="R54" s="37">
        <f>MROUND(1567*(1+0.026)*(1+0.02),10)</f>
        <v>1640</v>
      </c>
      <c r="S54" s="37">
        <f>R54+S53</f>
        <v>2740</v>
      </c>
    </row>
    <row r="55" spans="16:19" x14ac:dyDescent="0.2">
      <c r="P55" s="29" t="s">
        <v>36</v>
      </c>
      <c r="Q55" s="37">
        <v>174000</v>
      </c>
      <c r="R55" s="37">
        <f>MROUND(1615*(1+0.026)*(1+0.02),10)</f>
        <v>1690</v>
      </c>
      <c r="S55" s="37">
        <f t="shared" ref="S55:S57" si="0">R55+S54</f>
        <v>4430</v>
      </c>
    </row>
    <row r="56" spans="16:19" x14ac:dyDescent="0.2">
      <c r="P56" s="29" t="s">
        <v>37</v>
      </c>
      <c r="Q56" s="37">
        <v>209000</v>
      </c>
      <c r="R56" s="37">
        <f>MROUND(1591*(1+0.026)*(1+0.02),10)</f>
        <v>1670</v>
      </c>
      <c r="S56" s="37">
        <f t="shared" si="0"/>
        <v>6100</v>
      </c>
    </row>
    <row r="57" spans="16:19" x14ac:dyDescent="0.2">
      <c r="P57" s="29" t="s">
        <v>38</v>
      </c>
      <c r="Q57" s="37">
        <v>500000</v>
      </c>
      <c r="R57" s="37">
        <f>MROUND(530*(1+0.026)*(1+0.02),10)</f>
        <v>550</v>
      </c>
      <c r="S57" s="37">
        <f t="shared" si="0"/>
        <v>6650</v>
      </c>
    </row>
    <row r="58" spans="16:19" ht="4" customHeight="1" x14ac:dyDescent="0.2">
      <c r="P58" s="29"/>
      <c r="Q58" s="29"/>
      <c r="R58" s="29"/>
      <c r="S58" s="29"/>
    </row>
    <row r="59" spans="16:19" ht="18" customHeight="1" x14ac:dyDescent="0.2">
      <c r="P59" s="35" t="s">
        <v>43</v>
      </c>
      <c r="Q59" s="29"/>
      <c r="R59" s="29"/>
      <c r="S59" s="29"/>
    </row>
    <row r="60" spans="16:19" ht="13" customHeight="1" x14ac:dyDescent="0.2">
      <c r="P60" s="29"/>
      <c r="Q60" s="41" t="s">
        <v>57</v>
      </c>
      <c r="R60" s="36" t="s">
        <v>40</v>
      </c>
      <c r="S60" s="36" t="s">
        <v>39</v>
      </c>
    </row>
    <row r="61" spans="16:19" x14ac:dyDescent="0.2">
      <c r="P61" s="29" t="s">
        <v>34</v>
      </c>
      <c r="Q61" s="37">
        <f t="shared" ref="Q61:R64" si="1">Q53*2</f>
        <v>222000</v>
      </c>
      <c r="R61" s="37">
        <f t="shared" si="1"/>
        <v>2200</v>
      </c>
      <c r="S61" s="37">
        <f>R61</f>
        <v>2200</v>
      </c>
    </row>
    <row r="62" spans="16:19" x14ac:dyDescent="0.2">
      <c r="P62" s="29" t="s">
        <v>35</v>
      </c>
      <c r="Q62" s="37">
        <f t="shared" si="1"/>
        <v>280000</v>
      </c>
      <c r="R62" s="37">
        <f t="shared" si="1"/>
        <v>3280</v>
      </c>
      <c r="S62" s="37">
        <f>R62+S61</f>
        <v>5480</v>
      </c>
    </row>
    <row r="63" spans="16:19" x14ac:dyDescent="0.2">
      <c r="P63" s="29" t="s">
        <v>36</v>
      </c>
      <c r="Q63" s="37">
        <f t="shared" si="1"/>
        <v>348000</v>
      </c>
      <c r="R63" s="37">
        <f t="shared" si="1"/>
        <v>3380</v>
      </c>
      <c r="S63" s="37">
        <f t="shared" ref="S63:S65" si="2">R63+S62</f>
        <v>8860</v>
      </c>
    </row>
    <row r="64" spans="16:19" x14ac:dyDescent="0.2">
      <c r="P64" s="29" t="s">
        <v>37</v>
      </c>
      <c r="Q64" s="37">
        <f t="shared" si="1"/>
        <v>418000</v>
      </c>
      <c r="R64" s="37">
        <f t="shared" si="1"/>
        <v>3340</v>
      </c>
      <c r="S64" s="37">
        <f t="shared" si="2"/>
        <v>12200</v>
      </c>
    </row>
    <row r="65" spans="16:21" x14ac:dyDescent="0.2">
      <c r="P65" s="29" t="s">
        <v>38</v>
      </c>
      <c r="Q65" s="37">
        <v>750000</v>
      </c>
      <c r="R65" s="37">
        <f>R57*2</f>
        <v>1100</v>
      </c>
      <c r="S65" s="37">
        <f t="shared" si="2"/>
        <v>13300</v>
      </c>
    </row>
    <row r="70" spans="16:21" x14ac:dyDescent="0.2">
      <c r="T70" s="29" t="s">
        <v>61</v>
      </c>
      <c r="U70" s="29"/>
    </row>
    <row r="71" spans="16:21" x14ac:dyDescent="0.2">
      <c r="T71" s="43" t="s">
        <v>62</v>
      </c>
      <c r="U71" s="29"/>
    </row>
    <row r="72" spans="16:21" x14ac:dyDescent="0.2">
      <c r="T72" s="29" t="s">
        <v>58</v>
      </c>
      <c r="U72" s="29"/>
    </row>
    <row r="73" spans="16:21" ht="20" customHeight="1" x14ac:dyDescent="0.2">
      <c r="T73" s="29" t="s">
        <v>59</v>
      </c>
      <c r="U73" s="37">
        <v>200000</v>
      </c>
    </row>
    <row r="74" spans="16:21" x14ac:dyDescent="0.2">
      <c r="T74" s="29" t="s">
        <v>60</v>
      </c>
      <c r="U74" s="37">
        <v>250000</v>
      </c>
    </row>
  </sheetData>
  <pageMargins left="0.7" right="0.7" top="0.75" bottom="0.75" header="0.3" footer="0.3"/>
  <pageSetup scale="40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Template</vt:lpstr>
      <vt:lpstr>Screenshot for IRMAA</vt:lpstr>
      <vt:lpstr>Tripwires and tax tables</vt:lpstr>
      <vt:lpstr>Template!Print_Area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Canfield</dc:creator>
  <cp:lastModifiedBy>Thomas Canfield</cp:lastModifiedBy>
  <cp:lastPrinted>2025-08-27T19:14:33Z</cp:lastPrinted>
  <dcterms:created xsi:type="dcterms:W3CDTF">2020-08-06T21:28:31Z</dcterms:created>
  <dcterms:modified xsi:type="dcterms:W3CDTF">2025-11-22T19:22:20Z</dcterms:modified>
</cp:coreProperties>
</file>