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Canfield/Documents/     *2025 Tax Year Folder/        Tax templates 08-25/"/>
    </mc:Choice>
  </mc:AlternateContent>
  <xr:revisionPtr revIDLastSave="0" documentId="13_ncr:1_{D69394B2-B4F7-164F-A6E2-4751044D3756}" xr6:coauthVersionLast="47" xr6:coauthVersionMax="47" xr10:uidLastSave="{00000000-0000-0000-0000-000000000000}"/>
  <bookViews>
    <workbookView xWindow="12480" yWindow="2100" windowWidth="23340" windowHeight="20440" xr2:uid="{5E124CB6-6DB4-6E45-A684-D9A467741CD9}"/>
  </bookViews>
  <sheets>
    <sheet name="Template" sheetId="1" r:id="rId1"/>
  </sheets>
  <definedNames>
    <definedName name="_xlnm.Print_Area" localSheetId="0">Template!$A$2:$J$76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68" i="1"/>
  <c r="H68" i="1"/>
  <c r="H67" i="1"/>
  <c r="J67" i="1" s="1"/>
  <c r="J66" i="1"/>
  <c r="H66" i="1"/>
  <c r="H65" i="1"/>
  <c r="J65" i="1" s="1"/>
  <c r="J64" i="1"/>
  <c r="H64" i="1"/>
  <c r="J54" i="1"/>
  <c r="H51" i="1"/>
  <c r="D48" i="1"/>
  <c r="D47" i="1"/>
  <c r="J44" i="1"/>
  <c r="D43" i="1"/>
  <c r="D49" i="1" s="1"/>
  <c r="J41" i="1"/>
  <c r="D41" i="1"/>
  <c r="K40" i="1"/>
  <c r="J39" i="1"/>
  <c r="K39" i="1" s="1"/>
  <c r="K36" i="1"/>
  <c r="K33" i="1"/>
  <c r="I33" i="1"/>
  <c r="D50" i="1" l="1"/>
  <c r="H34" i="1"/>
  <c r="I34" i="1" s="1"/>
  <c r="K34" i="1" s="1"/>
  <c r="H52" i="1" s="1"/>
  <c r="H53" i="1" s="1"/>
  <c r="H55" i="1" s="1"/>
  <c r="J55" i="1" l="1"/>
  <c r="H56" i="1"/>
  <c r="J56" i="1" s="1"/>
  <c r="J57" i="1" l="1"/>
  <c r="J58" i="1"/>
  <c r="I37" i="1" l="1"/>
  <c r="J59" i="1"/>
  <c r="K37" i="1" l="1"/>
  <c r="I41" i="1"/>
  <c r="K41" i="1" l="1"/>
  <c r="I42" i="1" l="1"/>
  <c r="I44" i="1" s="1"/>
  <c r="J46" i="1"/>
  <c r="I70" i="1" l="1"/>
  <c r="I67" i="1"/>
  <c r="I65" i="1"/>
  <c r="K44" i="1"/>
  <c r="J45" i="1" s="1"/>
  <c r="I69" i="1"/>
  <c r="I66" i="1"/>
  <c r="I68" i="1"/>
  <c r="I64" i="1"/>
  <c r="I71" i="1" l="1"/>
  <c r="I45" i="1" s="1"/>
  <c r="I47" i="1" s="1"/>
  <c r="D32" i="1" s="1"/>
  <c r="D33" i="1" s="1"/>
  <c r="D34" i="1" s="1"/>
</calcChain>
</file>

<file path=xl/sharedStrings.xml><?xml version="1.0" encoding="utf-8"?>
<sst xmlns="http://schemas.openxmlformats.org/spreadsheetml/2006/main" count="98" uniqueCount="94">
  <si>
    <t>I always (well, almost always) withdraw (sell securities) to get our after-tax spending amount into cash before the end of December.</t>
  </si>
  <si>
    <t>(I could transfer securities from traditional IRA to taxable and then sell throughout the upcoming year, but I generally don't do that.)</t>
  </si>
  <si>
    <t>This is consistent with the math and logic in FIRECalc used to find my Safe Spending Rate (SSR%). I also am happier with this, since I don't</t>
  </si>
  <si>
    <t>have to sell during the year and be concerned about market ups and downs. I assume you follow the same practice.</t>
  </si>
  <si>
    <t>Steps: this sheet assumes you will withdraw or sell your SSA at year end; your task to avoid taxes that you could otherwise avoid ever paying.</t>
  </si>
  <si>
    <t xml:space="preserve">1. Estimate SSA for upcoming year or the gross amount of securities you plan to sell in cell D31. </t>
  </si>
  <si>
    <t>The next steps find the total tax you will pay this tax year.</t>
  </si>
  <si>
    <t xml:space="preserve">2. Estimate taxable income other than from sales of securities from my portfolio. </t>
  </si>
  <si>
    <t>Use last year's tax return as a guide; e.g., adjust last year's gross SS for the 2.5% COLA in 2025.</t>
  </si>
  <si>
    <t>3. Decide where your SSA will come from: three sources must add to your total.</t>
  </si>
  <si>
    <t xml:space="preserve">    a. Withdrawals from Traditional IRAs = ordinary income at, let's assume, 22% marginal tax rate.</t>
  </si>
  <si>
    <r>
      <t xml:space="preserve">    b. Sales of Taxable Securities = Long term capital gains = Maybe 7.5% effective tax rate on sales proceeds.</t>
    </r>
    <r>
      <rPr>
        <sz val="11"/>
        <color theme="2" tint="-0.499984740745262"/>
        <rFont val="Calibri (Body)"/>
      </rPr>
      <t xml:space="preserve"> (e.g., 15% of 50% gain)</t>
    </r>
  </si>
  <si>
    <r>
      <t xml:space="preserve">    c. Roth = not recorded income and no taxes </t>
    </r>
    <r>
      <rPr>
        <sz val="11"/>
        <color theme="2" tint="-0.499984740745262"/>
        <rFont val="Calibri (Body)"/>
      </rPr>
      <t>(assumes you meet certain Roth withdrawal rules)</t>
    </r>
  </si>
  <si>
    <t>Added notes:</t>
  </si>
  <si>
    <t>-</t>
  </si>
  <si>
    <t>Donate to charity using QCD. You get the full tax benefit of your donation.</t>
  </si>
  <si>
    <t>I withhold all taxes for the year when I take our RMD the first week of December. I'm getting interest-free loan from the IRS.</t>
  </si>
  <si>
    <t>Your brokerage statement will give you the information to calculate the percentage of sales proceeds that are taxable.</t>
  </si>
  <si>
    <t>I always sell "specific securities" when I sell from my taxable brokerage account to result in lowest taxable gain.</t>
  </si>
  <si>
    <t>For almost all of us over age 65, the benefit of converting traditional to Roth has almost disappeared. We pay high effective tax on the conversion</t>
  </si>
  <si>
    <t>amount, since we lose a portion of the Bonus Standard deduction. That loss adds roughly two percentage percentage points to the ordinary</t>
  </si>
  <si>
    <t>rate: if we are in the 22% backet, our effective rate on the conversion amount is ~24%. You save more than 24% only if you use Roth in the</t>
  </si>
  <si>
    <t>future to avoid a neary IRMAA tripwire.</t>
  </si>
  <si>
    <t>This shorthand display of our tax return works for me.</t>
  </si>
  <si>
    <t>You may need to adjust to make it work for you. Assumes no tax-exempt interest.</t>
  </si>
  <si>
    <t>How much spending do I get after taxes from our SSA?</t>
  </si>
  <si>
    <t>Estimate of 2025 Federal Tax Return</t>
  </si>
  <si>
    <t>Taxable: Income tax rate</t>
  </si>
  <si>
    <t>Estimated SSA for upcoming year: total security sales</t>
  </si>
  <si>
    <t>(Abbreviated tax return)</t>
  </si>
  <si>
    <t>Ordinary 
tax rate</t>
  </si>
  <si>
    <t>Qualifed for 
Cap Gains rate</t>
  </si>
  <si>
    <t>Linear display, 
tax return</t>
  </si>
  <si>
    <t>Fed tax W/H from distrib from IRAs in December</t>
  </si>
  <si>
    <t>Gross</t>
  </si>
  <si>
    <t>After tax for spending from portfolio</t>
  </si>
  <si>
    <t>Taxable Interest +  Dividends</t>
  </si>
  <si>
    <t>Approx. total for spending after tax, net of QCD &amp; base est for Mcare premiums at $200/mo. each</t>
  </si>
  <si>
    <t>Traditional IRA + Roth Distrib</t>
  </si>
  <si>
    <t>Conversion Traditional to Roth</t>
  </si>
  <si>
    <t xml:space="preserve">Other Pension income </t>
  </si>
  <si>
    <t>Social Security</t>
  </si>
  <si>
    <t>Where do I sell to get after tax amount for spending</t>
  </si>
  <si>
    <t>Assumed percent gain on proceeds from security sales</t>
  </si>
  <si>
    <r>
      <t>1 Traditional IRA</t>
    </r>
    <r>
      <rPr>
        <sz val="10"/>
        <color theme="1"/>
        <rFont val="Calibri (Body)"/>
      </rPr>
      <t xml:space="preserve"> (RMD if ≥ age 73 in 2026)</t>
    </r>
  </si>
  <si>
    <t>Est. ST &amp; LT Capital Gains from Sales</t>
  </si>
  <si>
    <r>
      <t xml:space="preserve">    Less QCD </t>
    </r>
    <r>
      <rPr>
        <sz val="10"/>
        <color theme="1" tint="0.34998626667073579"/>
        <rFont val="Calibri (Body)"/>
      </rPr>
      <t>(allowed if over age 70 1/2)</t>
    </r>
  </si>
  <si>
    <t>Other Ordinary Income</t>
  </si>
  <si>
    <t xml:space="preserve">     Balance to be sold for spending in 2026</t>
  </si>
  <si>
    <t xml:space="preserve">  Total Income</t>
  </si>
  <si>
    <t>2a. Sell securities in taxable account in Dec</t>
  </si>
  <si>
    <r>
      <t>Standard Deduction.</t>
    </r>
    <r>
      <rPr>
        <sz val="11"/>
        <color theme="1"/>
        <rFont val="Calibri (Body)"/>
      </rPr>
      <t xml:space="preserve"> Assumes both age &gt; 65</t>
    </r>
  </si>
  <si>
    <t>MAGI</t>
  </si>
  <si>
    <t>3. Sell securities and distribute from Roth account</t>
  </si>
  <si>
    <r>
      <rPr>
        <sz val="12"/>
        <rFont val="Calibri (Body)"/>
      </rPr>
      <t>QBI</t>
    </r>
    <r>
      <rPr>
        <sz val="11"/>
        <rFont val="Calibri (Body)"/>
      </rPr>
      <t xml:space="preserve"> deduction</t>
    </r>
    <r>
      <rPr>
        <sz val="11"/>
        <color theme="2" tint="-0.499984740745262"/>
        <rFont val="Calibri (Body)"/>
      </rPr>
      <t xml:space="preserve"> = 20% of Sect 199A divs</t>
    </r>
  </si>
  <si>
    <t xml:space="preserve">    Can delay and sell later in 2026 with no tax consequence</t>
  </si>
  <si>
    <t>Taxable Income</t>
  </si>
  <si>
    <r>
      <t xml:space="preserve">Tax. </t>
    </r>
    <r>
      <rPr>
        <sz val="11"/>
        <color theme="2" tint="-0.499984740745262"/>
        <rFont val="Calibri (Body)"/>
      </rPr>
      <t>Calculation below or in cell.</t>
    </r>
  </si>
  <si>
    <t xml:space="preserve">Restatement: Securities sold/withdrawn from . . . </t>
  </si>
  <si>
    <t>NIIT if MAGI &gt; $250,000</t>
  </si>
  <si>
    <t>Traditional IRA</t>
  </si>
  <si>
    <t>Total Fed Tax</t>
  </si>
  <si>
    <t>Investment account</t>
  </si>
  <si>
    <t>Roth</t>
  </si>
  <si>
    <t>Total Security sales</t>
  </si>
  <si>
    <t>Calculation of taxable portion of SS (0% to 85%)</t>
  </si>
  <si>
    <t>1/2 of gross SS benefit</t>
  </si>
  <si>
    <t>Standard Deduction</t>
  </si>
  <si>
    <t>All other income</t>
  </si>
  <si>
    <t>Base</t>
  </si>
  <si>
    <t>"Combined Income"</t>
  </si>
  <si>
    <t>Taxable Portion</t>
  </si>
  <si>
    <t>Taxable amount</t>
  </si>
  <si>
    <t xml:space="preserve"> </t>
  </si>
  <si>
    <t>Both over age 65</t>
  </si>
  <si>
    <t>Base deduction</t>
  </si>
  <si>
    <t>Bonus up to $6,000 each- sliding scale</t>
  </si>
  <si>
    <t>calculation</t>
  </si>
  <si>
    <t>Next increment up to $9,000</t>
  </si>
  <si>
    <t>Total for married, joint filers</t>
  </si>
  <si>
    <t>$34,700 + calc amount</t>
  </si>
  <si>
    <t>Balance</t>
  </si>
  <si>
    <t>to max $46,700 for both over age 65</t>
  </si>
  <si>
    <t>Sum</t>
  </si>
  <si>
    <t>Taxable Portion up to 85% max</t>
  </si>
  <si>
    <t>Percent taxed</t>
  </si>
  <si>
    <t>Max Tax</t>
  </si>
  <si>
    <t>Calculation of Federal Tax on Ordinary Income</t>
  </si>
  <si>
    <t>in Bracket</t>
  </si>
  <si>
    <t>Rate in bracket</t>
  </si>
  <si>
    <t>Top of bracket</t>
  </si>
  <si>
    <t>Tax</t>
  </si>
  <si>
    <t>Tom Canfield. November 2025.</t>
  </si>
  <si>
    <t xml:space="preserve">Ordinary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</si>
</sst>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alibri (Body)"/>
    </font>
    <font>
      <sz val="11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0"/>
      <color theme="1"/>
      <name val="Calibri (Body)"/>
    </font>
    <font>
      <sz val="12"/>
      <color theme="1" tint="0.34998626667073579"/>
      <name val="Calibri"/>
      <family val="2"/>
      <scheme val="minor"/>
    </font>
    <font>
      <sz val="10"/>
      <color theme="1" tint="0.34998626667073579"/>
      <name val="Calibri (Body)"/>
    </font>
    <font>
      <sz val="11"/>
      <color theme="1"/>
      <name val="Calibri (Body)"/>
    </font>
    <font>
      <sz val="12"/>
      <color theme="2" tint="-0.499984740745262"/>
      <name val="Calibri (Body)"/>
    </font>
    <font>
      <sz val="12"/>
      <name val="Calibri (Body)"/>
    </font>
    <font>
      <sz val="11"/>
      <name val="Calibri (Body)"/>
    </font>
    <font>
      <u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8" tint="0.39997558519241921"/>
      <name val="Calibri"/>
      <family val="2"/>
      <scheme val="minor"/>
    </font>
    <font>
      <sz val="12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A8DD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FEE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E5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quotePrefix="1" applyAlignment="1">
      <alignment horizontal="right"/>
    </xf>
    <xf numFmtId="0" fontId="5" fillId="0" borderId="0" xfId="0" applyFont="1"/>
    <xf numFmtId="0" fontId="6" fillId="4" borderId="0" xfId="0" applyFont="1" applyFill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/>
    <xf numFmtId="3" fontId="9" fillId="2" borderId="0" xfId="1" applyNumberFormat="1" applyFont="1" applyFill="1" applyBorder="1"/>
    <xf numFmtId="3" fontId="0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  <xf numFmtId="3" fontId="0" fillId="5" borderId="0" xfId="1" applyNumberFormat="1" applyFont="1" applyFill="1"/>
    <xf numFmtId="0" fontId="0" fillId="0" borderId="1" xfId="0" applyBorder="1" applyAlignment="1">
      <alignment horizontal="center"/>
    </xf>
    <xf numFmtId="3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9" fillId="0" borderId="0" xfId="0" applyNumberFormat="1" applyFont="1"/>
    <xf numFmtId="3" fontId="0" fillId="3" borderId="0" xfId="0" applyNumberFormat="1" applyFill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/>
    </xf>
    <xf numFmtId="0" fontId="0" fillId="6" borderId="0" xfId="0" applyFill="1"/>
    <xf numFmtId="3" fontId="0" fillId="6" borderId="0" xfId="0" applyNumberFormat="1" applyFill="1"/>
    <xf numFmtId="3" fontId="0" fillId="6" borderId="0" xfId="0" applyNumberFormat="1" applyFill="1" applyAlignment="1">
      <alignment horizontal="right"/>
    </xf>
    <xf numFmtId="3" fontId="0" fillId="7" borderId="0" xfId="1" applyNumberFormat="1" applyFont="1" applyFill="1"/>
    <xf numFmtId="0" fontId="0" fillId="0" borderId="0" xfId="0" applyAlignment="1">
      <alignment wrapText="1"/>
    </xf>
    <xf numFmtId="0" fontId="11" fillId="6" borderId="0" xfId="0" applyFont="1" applyFill="1"/>
    <xf numFmtId="3" fontId="11" fillId="6" borderId="0" xfId="0" applyNumberFormat="1" applyFont="1" applyFill="1" applyAlignment="1">
      <alignment horizontal="right"/>
    </xf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/>
    </xf>
    <xf numFmtId="9" fontId="0" fillId="8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1" applyNumberFormat="1" applyFont="1" applyFill="1" applyAlignment="1">
      <alignment vertical="center"/>
    </xf>
    <xf numFmtId="0" fontId="0" fillId="9" borderId="0" xfId="0" applyFill="1"/>
    <xf numFmtId="3" fontId="0" fillId="9" borderId="0" xfId="1" applyNumberFormat="1" applyFont="1" applyFill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13" fillId="8" borderId="1" xfId="1" applyNumberFormat="1" applyFont="1" applyFill="1" applyBorder="1" applyAlignment="1">
      <alignment vertical="center"/>
    </xf>
    <xf numFmtId="3" fontId="0" fillId="0" borderId="2" xfId="0" applyNumberFormat="1" applyBorder="1"/>
    <xf numFmtId="3" fontId="0" fillId="10" borderId="3" xfId="0" applyNumberFormat="1" applyFill="1" applyBorder="1"/>
    <xf numFmtId="3" fontId="0" fillId="9" borderId="0" xfId="1" applyNumberFormat="1" applyFont="1" applyFill="1" applyAlignment="1">
      <alignment vertical="center"/>
    </xf>
    <xf numFmtId="37" fontId="0" fillId="11" borderId="0" xfId="0" applyNumberFormat="1" applyFill="1"/>
    <xf numFmtId="3" fontId="0" fillId="10" borderId="4" xfId="0" applyNumberFormat="1" applyFill="1" applyBorder="1" applyAlignment="1">
      <alignment horizontal="right"/>
    </xf>
    <xf numFmtId="3" fontId="0" fillId="8" borderId="0" xfId="1" applyNumberFormat="1" applyFont="1" applyFill="1"/>
    <xf numFmtId="0" fontId="16" fillId="0" borderId="0" xfId="0" applyFont="1"/>
    <xf numFmtId="0" fontId="19" fillId="0" borderId="0" xfId="0" applyFont="1"/>
    <xf numFmtId="3" fontId="0" fillId="5" borderId="0" xfId="0" applyNumberFormat="1" applyFill="1" applyAlignment="1">
      <alignment horizontal="center"/>
    </xf>
    <xf numFmtId="9" fontId="0" fillId="0" borderId="0" xfId="2" applyFont="1"/>
    <xf numFmtId="3" fontId="9" fillId="0" borderId="2" xfId="1" applyNumberFormat="1" applyFont="1" applyBorder="1"/>
    <xf numFmtId="0" fontId="19" fillId="8" borderId="0" xfId="0" applyFont="1" applyFill="1"/>
    <xf numFmtId="0" fontId="0" fillId="8" borderId="0" xfId="0" applyFill="1"/>
    <xf numFmtId="3" fontId="0" fillId="8" borderId="0" xfId="0" applyNumberFormat="1" applyFill="1"/>
    <xf numFmtId="3" fontId="0" fillId="8" borderId="5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9" fontId="0" fillId="8" borderId="0" xfId="0" applyNumberFormat="1" applyFill="1" applyAlignment="1">
      <alignment horizontal="center"/>
    </xf>
    <xf numFmtId="0" fontId="0" fillId="8" borderId="0" xfId="0" applyFill="1" applyAlignment="1">
      <alignment horizontal="right"/>
    </xf>
    <xf numFmtId="3" fontId="6" fillId="8" borderId="2" xfId="1" applyNumberFormat="1" applyFont="1" applyFill="1" applyBorder="1" applyAlignment="1">
      <alignment horizontal="right"/>
    </xf>
    <xf numFmtId="3" fontId="6" fillId="8" borderId="0" xfId="1" applyNumberFormat="1" applyFont="1" applyFill="1" applyBorder="1" applyAlignment="1">
      <alignment horizontal="right"/>
    </xf>
    <xf numFmtId="0" fontId="0" fillId="12" borderId="0" xfId="0" applyFill="1"/>
    <xf numFmtId="0" fontId="0" fillId="12" borderId="0" xfId="0" applyFill="1" applyAlignment="1">
      <alignment horizontal="right"/>
    </xf>
    <xf numFmtId="165" fontId="0" fillId="12" borderId="0" xfId="0" applyNumberFormat="1" applyFill="1"/>
    <xf numFmtId="166" fontId="0" fillId="8" borderId="0" xfId="2" applyNumberFormat="1" applyFont="1" applyFill="1"/>
    <xf numFmtId="166" fontId="0" fillId="0" borderId="0" xfId="2" applyNumberFormat="1" applyFont="1"/>
    <xf numFmtId="3" fontId="20" fillId="0" borderId="0" xfId="1" applyNumberFormat="1" applyFont="1" applyBorder="1"/>
    <xf numFmtId="0" fontId="6" fillId="8" borderId="0" xfId="0" applyFont="1" applyFill="1"/>
    <xf numFmtId="164" fontId="21" fillId="8" borderId="0" xfId="1" applyNumberFormat="1" applyFont="1" applyFill="1" applyBorder="1" applyAlignment="1">
      <alignment horizontal="center"/>
    </xf>
    <xf numFmtId="164" fontId="21" fillId="8" borderId="1" xfId="1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9" fontId="0" fillId="8" borderId="0" xfId="2" applyFont="1" applyFill="1" applyAlignment="1">
      <alignment horizontal="center"/>
    </xf>
    <xf numFmtId="164" fontId="21" fillId="8" borderId="0" xfId="1" applyNumberFormat="1" applyFont="1" applyFill="1" applyBorder="1"/>
    <xf numFmtId="164" fontId="21" fillId="8" borderId="0" xfId="1" applyNumberFormat="1" applyFont="1" applyFill="1" applyBorder="1" applyAlignment="1">
      <alignment vertical="center"/>
    </xf>
    <xf numFmtId="164" fontId="0" fillId="8" borderId="0" xfId="1" applyNumberFormat="1" applyFont="1" applyFill="1"/>
    <xf numFmtId="0" fontId="13" fillId="0" borderId="0" xfId="0" applyFont="1"/>
    <xf numFmtId="3" fontId="0" fillId="8" borderId="2" xfId="1" applyNumberFormat="1" applyFont="1" applyFill="1" applyBorder="1"/>
    <xf numFmtId="164" fontId="6" fillId="0" borderId="0" xfId="1" applyNumberFormat="1" applyFont="1" applyBorder="1"/>
    <xf numFmtId="0" fontId="22" fillId="0" borderId="0" xfId="0" applyFont="1"/>
    <xf numFmtId="164" fontId="22" fillId="0" borderId="0" xfId="1" applyNumberFormat="1" applyFont="1" applyBorder="1"/>
    <xf numFmtId="0" fontId="20" fillId="0" borderId="0" xfId="0" applyFont="1" applyAlignment="1">
      <alignment vertical="center" wrapText="1"/>
    </xf>
    <xf numFmtId="164" fontId="20" fillId="0" borderId="0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57</xdr:row>
      <xdr:rowOff>177800</xdr:rowOff>
    </xdr:from>
    <xdr:to>
      <xdr:col>2</xdr:col>
      <xdr:colOff>800100</xdr:colOff>
      <xdr:row>66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CC7F8-6D17-9047-A13E-B973190B3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1480800"/>
          <a:ext cx="29464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649D-1AE9-FA44-BED5-CBABC268D87B}">
  <sheetPr>
    <pageSetUpPr fitToPage="1"/>
  </sheetPr>
  <dimension ref="A2:T80"/>
  <sheetViews>
    <sheetView tabSelected="1" topLeftCell="A27" workbookViewId="0">
      <selection activeCell="D70" sqref="D70"/>
    </sheetView>
  </sheetViews>
  <sheetFormatPr baseColWidth="10" defaultRowHeight="16" x14ac:dyDescent="0.2"/>
  <cols>
    <col min="1" max="1" width="3" customWidth="1"/>
    <col min="2" max="2" width="28.5" customWidth="1"/>
    <col min="3" max="3" width="16.83203125" customWidth="1"/>
    <col min="4" max="4" width="14.6640625" customWidth="1"/>
    <col min="5" max="5" width="4.1640625" customWidth="1"/>
    <col min="6" max="6" width="7" customWidth="1"/>
    <col min="7" max="7" width="20.5" customWidth="1"/>
    <col min="8" max="8" width="13.1640625" customWidth="1"/>
    <col min="9" max="10" width="13.6640625" customWidth="1"/>
    <col min="11" max="11" width="13.33203125" customWidth="1"/>
    <col min="12" max="12" width="10.83203125" style="1"/>
  </cols>
  <sheetData>
    <row r="2" spans="1:12" x14ac:dyDescent="0.2">
      <c r="A2" t="s">
        <v>0</v>
      </c>
    </row>
    <row r="3" spans="1:12" x14ac:dyDescent="0.2">
      <c r="A3" s="2" t="s">
        <v>1</v>
      </c>
    </row>
    <row r="4" spans="1:12" x14ac:dyDescent="0.2">
      <c r="A4" t="s">
        <v>2</v>
      </c>
    </row>
    <row r="5" spans="1:12" x14ac:dyDescent="0.2">
      <c r="A5" t="s">
        <v>3</v>
      </c>
    </row>
    <row r="6" spans="1:12" ht="21" customHeight="1" x14ac:dyDescent="0.2">
      <c r="B6" s="3" t="s">
        <v>4</v>
      </c>
      <c r="C6" s="3"/>
    </row>
    <row r="7" spans="1:12" x14ac:dyDescent="0.2">
      <c r="B7" s="4" t="s">
        <v>5</v>
      </c>
      <c r="C7" s="4"/>
      <c r="D7" s="4"/>
      <c r="E7" s="4"/>
      <c r="F7" s="4"/>
      <c r="G7" s="4"/>
    </row>
    <row r="8" spans="1:12" ht="22" customHeight="1" x14ac:dyDescent="0.2">
      <c r="B8" t="s">
        <v>6</v>
      </c>
    </row>
    <row r="9" spans="1:12" ht="3" customHeight="1" x14ac:dyDescent="0.2"/>
    <row r="10" spans="1:12" x14ac:dyDescent="0.2">
      <c r="B10" s="5" t="s">
        <v>7</v>
      </c>
      <c r="C10" s="5"/>
      <c r="D10" s="5"/>
      <c r="E10" s="5"/>
      <c r="F10" s="5"/>
      <c r="G10" s="5"/>
      <c r="H10" s="5"/>
      <c r="L10"/>
    </row>
    <row r="11" spans="1:12" x14ac:dyDescent="0.2">
      <c r="B11" s="5" t="s">
        <v>8</v>
      </c>
      <c r="C11" s="5"/>
      <c r="D11" s="5"/>
      <c r="E11" s="5"/>
      <c r="F11" s="5"/>
      <c r="G11" s="5"/>
      <c r="H11" s="5"/>
      <c r="L11"/>
    </row>
    <row r="12" spans="1:12" x14ac:dyDescent="0.2">
      <c r="B12" t="s">
        <v>9</v>
      </c>
    </row>
    <row r="13" spans="1:12" x14ac:dyDescent="0.2">
      <c r="B13" t="s">
        <v>10</v>
      </c>
    </row>
    <row r="14" spans="1:12" x14ac:dyDescent="0.2">
      <c r="B14" t="s">
        <v>11</v>
      </c>
    </row>
    <row r="15" spans="1:12" x14ac:dyDescent="0.2">
      <c r="B15" t="s">
        <v>12</v>
      </c>
    </row>
    <row r="16" spans="1:12" ht="7" customHeight="1" x14ac:dyDescent="0.2"/>
    <row r="17" spans="1:20" x14ac:dyDescent="0.2">
      <c r="B17" t="s">
        <v>13</v>
      </c>
    </row>
    <row r="18" spans="1:20" x14ac:dyDescent="0.2">
      <c r="A18" s="6" t="s">
        <v>14</v>
      </c>
      <c r="B18" t="s">
        <v>15</v>
      </c>
    </row>
    <row r="19" spans="1:20" x14ac:dyDescent="0.2">
      <c r="A19" s="6" t="s">
        <v>14</v>
      </c>
      <c r="B19" t="s">
        <v>16</v>
      </c>
      <c r="C19" s="7"/>
      <c r="D19" s="7"/>
      <c r="E19" s="7"/>
      <c r="F19" s="7"/>
      <c r="G19" s="7"/>
    </row>
    <row r="20" spans="1:20" x14ac:dyDescent="0.2">
      <c r="A20" s="6" t="s">
        <v>14</v>
      </c>
      <c r="B20" t="s">
        <v>17</v>
      </c>
      <c r="C20" s="7"/>
      <c r="D20" s="7"/>
      <c r="E20" s="7"/>
      <c r="F20" s="7"/>
      <c r="G20" s="7"/>
    </row>
    <row r="21" spans="1:20" x14ac:dyDescent="0.2">
      <c r="A21" s="6" t="s">
        <v>14</v>
      </c>
      <c r="B21" t="s">
        <v>18</v>
      </c>
    </row>
    <row r="22" spans="1:20" x14ac:dyDescent="0.2">
      <c r="A22" s="6" t="s">
        <v>14</v>
      </c>
      <c r="B22" t="s">
        <v>19</v>
      </c>
    </row>
    <row r="23" spans="1:20" x14ac:dyDescent="0.2">
      <c r="B23" t="s">
        <v>20</v>
      </c>
    </row>
    <row r="24" spans="1:20" x14ac:dyDescent="0.2">
      <c r="B24" t="s">
        <v>21</v>
      </c>
    </row>
    <row r="25" spans="1:20" x14ac:dyDescent="0.2">
      <c r="B25" t="s">
        <v>22</v>
      </c>
    </row>
    <row r="26" spans="1:20" ht="3" customHeight="1" x14ac:dyDescent="0.2"/>
    <row r="27" spans="1:20" ht="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20" ht="23" customHeight="1" x14ac:dyDescent="0.2">
      <c r="F28" s="9" t="s">
        <v>23</v>
      </c>
      <c r="G28" s="9"/>
      <c r="H28" s="9"/>
    </row>
    <row r="29" spans="1:20" x14ac:dyDescent="0.2">
      <c r="F29" s="9" t="s">
        <v>24</v>
      </c>
      <c r="G29" s="9"/>
      <c r="H29" s="9"/>
    </row>
    <row r="30" spans="1:20" ht="19" x14ac:dyDescent="0.25">
      <c r="B30" s="10" t="s">
        <v>25</v>
      </c>
      <c r="C30" s="10"/>
      <c r="F30" s="10" t="s">
        <v>26</v>
      </c>
      <c r="G30" s="10"/>
      <c r="H30" s="10"/>
      <c r="I30" s="11" t="s">
        <v>27</v>
      </c>
      <c r="J30" s="11"/>
    </row>
    <row r="31" spans="1:20" x14ac:dyDescent="0.2">
      <c r="B31" s="12" t="s">
        <v>28</v>
      </c>
      <c r="C31" s="12"/>
      <c r="D31" s="13"/>
      <c r="F31" t="s">
        <v>29</v>
      </c>
      <c r="I31" s="14" t="s">
        <v>30</v>
      </c>
      <c r="J31" s="14" t="s">
        <v>31</v>
      </c>
      <c r="K31" s="15" t="s">
        <v>32</v>
      </c>
    </row>
    <row r="32" spans="1:20" x14ac:dyDescent="0.2">
      <c r="B32" s="16" t="s">
        <v>33</v>
      </c>
      <c r="C32" s="16"/>
      <c r="D32" s="17">
        <f>I47</f>
        <v>0</v>
      </c>
      <c r="H32" s="18" t="s">
        <v>34</v>
      </c>
      <c r="I32" s="19"/>
      <c r="J32" s="19"/>
      <c r="K32" s="20"/>
      <c r="S32" s="21"/>
      <c r="T32" s="21"/>
    </row>
    <row r="33" spans="2:19" x14ac:dyDescent="0.2">
      <c r="B33" s="12" t="s">
        <v>35</v>
      </c>
      <c r="C33" s="12"/>
      <c r="D33" s="22">
        <f>D31-D32</f>
        <v>0</v>
      </c>
      <c r="F33" s="5" t="s">
        <v>36</v>
      </c>
      <c r="G33" s="5"/>
      <c r="H33" s="23"/>
      <c r="I33" s="24">
        <f>H33-J33</f>
        <v>0</v>
      </c>
      <c r="J33" s="24"/>
      <c r="K33" s="25">
        <f>H33</f>
        <v>0</v>
      </c>
      <c r="S33" s="26"/>
    </row>
    <row r="34" spans="2:19" ht="16" customHeight="1" x14ac:dyDescent="0.2">
      <c r="B34" s="27" t="s">
        <v>37</v>
      </c>
      <c r="C34" s="27"/>
      <c r="D34" s="28">
        <f>D33+H36+H37+I40--400*12-D40</f>
        <v>4800</v>
      </c>
      <c r="F34" s="29" t="s">
        <v>38</v>
      </c>
      <c r="G34" s="29"/>
      <c r="H34" s="30">
        <f>D39+D43</f>
        <v>0</v>
      </c>
      <c r="I34" s="31">
        <f>H34-D40-D43</f>
        <v>0</v>
      </c>
      <c r="J34" s="32"/>
      <c r="K34" s="25">
        <f>I34</f>
        <v>0</v>
      </c>
      <c r="S34" s="26"/>
    </row>
    <row r="35" spans="2:19" ht="16" customHeight="1" x14ac:dyDescent="0.2">
      <c r="B35" s="27"/>
      <c r="C35" s="27"/>
      <c r="D35" s="28"/>
      <c r="E35" s="33"/>
      <c r="F35" s="34" t="s">
        <v>39</v>
      </c>
      <c r="G35" s="34"/>
      <c r="H35" s="35">
        <v>0</v>
      </c>
      <c r="I35" s="35">
        <v>0</v>
      </c>
      <c r="J35" s="32"/>
      <c r="K35" s="25"/>
      <c r="S35" s="26"/>
    </row>
    <row r="36" spans="2:19" x14ac:dyDescent="0.2">
      <c r="B36" s="36"/>
      <c r="C36" s="36"/>
      <c r="D36" s="37"/>
      <c r="F36" s="5" t="s">
        <v>40</v>
      </c>
      <c r="G36" s="5"/>
      <c r="H36" s="5"/>
      <c r="I36" s="23"/>
      <c r="J36" s="32"/>
      <c r="K36" s="25">
        <f t="shared" ref="K36:K37" si="0">I36+J36</f>
        <v>0</v>
      </c>
      <c r="S36" s="26"/>
    </row>
    <row r="37" spans="2:19" x14ac:dyDescent="0.2">
      <c r="F37" s="5" t="s">
        <v>41</v>
      </c>
      <c r="G37" s="5"/>
      <c r="H37" s="23"/>
      <c r="I37" s="23">
        <f>J58</f>
        <v>0</v>
      </c>
      <c r="J37" s="32"/>
      <c r="K37" s="25">
        <f t="shared" si="0"/>
        <v>0</v>
      </c>
      <c r="S37" s="26"/>
    </row>
    <row r="38" spans="2:19" x14ac:dyDescent="0.2">
      <c r="B38" s="3" t="s">
        <v>42</v>
      </c>
      <c r="C38" s="3"/>
      <c r="F38" s="2" t="s">
        <v>43</v>
      </c>
      <c r="J38" s="38"/>
      <c r="S38" s="26"/>
    </row>
    <row r="39" spans="2:19" x14ac:dyDescent="0.2">
      <c r="B39" s="39" t="s">
        <v>44</v>
      </c>
      <c r="C39" s="40"/>
      <c r="D39" s="41"/>
      <c r="F39" s="42" t="s">
        <v>45</v>
      </c>
      <c r="G39" s="42"/>
      <c r="H39" s="42"/>
      <c r="I39" s="43">
        <v>0</v>
      </c>
      <c r="J39" s="43">
        <f>J38*D42</f>
        <v>0</v>
      </c>
      <c r="K39" s="25">
        <f>I39+J39</f>
        <v>0</v>
      </c>
      <c r="S39" s="26"/>
    </row>
    <row r="40" spans="2:19" x14ac:dyDescent="0.2">
      <c r="B40" s="44" t="s">
        <v>46</v>
      </c>
      <c r="C40" s="45"/>
      <c r="D40" s="46"/>
      <c r="F40" s="5" t="s">
        <v>47</v>
      </c>
      <c r="G40" s="5"/>
      <c r="H40" s="5"/>
      <c r="I40" s="23"/>
      <c r="J40" s="32"/>
      <c r="K40" s="25">
        <f>I40+J40</f>
        <v>0</v>
      </c>
      <c r="M40" s="1"/>
      <c r="S40" s="26"/>
    </row>
    <row r="41" spans="2:19" x14ac:dyDescent="0.2">
      <c r="B41" t="s">
        <v>48</v>
      </c>
      <c r="D41" s="25">
        <f>D31-D39</f>
        <v>0</v>
      </c>
      <c r="F41" t="s">
        <v>49</v>
      </c>
      <c r="I41" s="47">
        <f>SUM(I33:I40)</f>
        <v>0</v>
      </c>
      <c r="J41" s="47">
        <f>J33+J39</f>
        <v>0</v>
      </c>
      <c r="K41" s="48">
        <f>I41+J41</f>
        <v>0</v>
      </c>
      <c r="M41" s="1"/>
      <c r="S41" s="26"/>
    </row>
    <row r="42" spans="2:19" x14ac:dyDescent="0.2">
      <c r="B42" s="42" t="s">
        <v>50</v>
      </c>
      <c r="C42" s="42"/>
      <c r="D42" s="49"/>
      <c r="F42" t="s">
        <v>51</v>
      </c>
      <c r="I42" s="50">
        <f>34700+MIN(IF(K41&gt;249000,0,(150000-ROUNDUP(K41-150000,-3))*0.12),12000)</f>
        <v>46700</v>
      </c>
      <c r="J42" s="25"/>
      <c r="K42" s="51" t="s">
        <v>52</v>
      </c>
      <c r="M42" s="1"/>
      <c r="S42" s="26"/>
    </row>
    <row r="43" spans="2:19" x14ac:dyDescent="0.2">
      <c r="B43" t="s">
        <v>53</v>
      </c>
      <c r="D43" s="52">
        <f>D41-D42</f>
        <v>0</v>
      </c>
      <c r="F43" s="53" t="s">
        <v>54</v>
      </c>
      <c r="S43" s="26"/>
    </row>
    <row r="44" spans="2:19" x14ac:dyDescent="0.2">
      <c r="B44" s="2" t="s">
        <v>55</v>
      </c>
      <c r="F44" t="s">
        <v>56</v>
      </c>
      <c r="I44" s="47">
        <f>I41-I42-I43</f>
        <v>-46700</v>
      </c>
      <c r="J44" s="25">
        <f>J41</f>
        <v>0</v>
      </c>
      <c r="K44" s="25">
        <f>I44+J44</f>
        <v>-46700</v>
      </c>
      <c r="S44" s="26"/>
    </row>
    <row r="45" spans="2:19" ht="16" customHeight="1" x14ac:dyDescent="0.2">
      <c r="F45" t="s">
        <v>57</v>
      </c>
      <c r="I45" s="47">
        <f>I71</f>
        <v>0</v>
      </c>
      <c r="J45" s="47">
        <f>IF(K44&gt;96700,J44*0.15,0)</f>
        <v>0</v>
      </c>
      <c r="S45" s="26"/>
    </row>
    <row r="46" spans="2:19" ht="16" customHeight="1" x14ac:dyDescent="0.2">
      <c r="B46" s="54" t="s">
        <v>58</v>
      </c>
      <c r="C46" s="54"/>
      <c r="F46" t="s">
        <v>59</v>
      </c>
      <c r="I46" s="25"/>
      <c r="J46" s="25">
        <f>IF(K41&gt;250000,0.038*IF(K33+K39&gt;K41-250000,K41-250000,K33+K39),0)</f>
        <v>0</v>
      </c>
      <c r="R46" s="54"/>
      <c r="S46" s="26"/>
    </row>
    <row r="47" spans="2:19" x14ac:dyDescent="0.2">
      <c r="B47" t="s">
        <v>60</v>
      </c>
      <c r="D47" s="25">
        <f>D39</f>
        <v>0</v>
      </c>
      <c r="F47" t="s">
        <v>61</v>
      </c>
      <c r="I47" s="55">
        <f>I45+J45+J46</f>
        <v>0</v>
      </c>
      <c r="J47" s="55"/>
      <c r="K47" s="25"/>
      <c r="R47" s="54"/>
      <c r="S47" s="26"/>
    </row>
    <row r="48" spans="2:19" x14ac:dyDescent="0.2">
      <c r="B48" t="s">
        <v>62</v>
      </c>
      <c r="D48" s="25">
        <f>D42</f>
        <v>0</v>
      </c>
      <c r="E48" s="56"/>
      <c r="S48" s="26"/>
    </row>
    <row r="49" spans="2:19" x14ac:dyDescent="0.2">
      <c r="B49" t="s">
        <v>63</v>
      </c>
      <c r="D49" s="25">
        <f>D43</f>
        <v>0</v>
      </c>
      <c r="S49" s="26"/>
    </row>
    <row r="50" spans="2:19" x14ac:dyDescent="0.2">
      <c r="B50" s="12" t="s">
        <v>64</v>
      </c>
      <c r="C50" s="12"/>
      <c r="D50" s="57">
        <f>SUM(D47:D49)</f>
        <v>0</v>
      </c>
      <c r="F50" s="58" t="s">
        <v>65</v>
      </c>
      <c r="G50" s="58"/>
      <c r="H50" s="59"/>
      <c r="I50" s="59"/>
      <c r="J50" s="59"/>
      <c r="S50" s="26"/>
    </row>
    <row r="51" spans="2:19" x14ac:dyDescent="0.2">
      <c r="F51" s="59" t="s">
        <v>66</v>
      </c>
      <c r="G51" s="59"/>
      <c r="H51" s="60">
        <f>H37/2</f>
        <v>0</v>
      </c>
      <c r="I51" s="59"/>
      <c r="J51" s="59"/>
      <c r="S51" s="26"/>
    </row>
    <row r="52" spans="2:19" x14ac:dyDescent="0.2">
      <c r="B52" s="58" t="s">
        <v>67</v>
      </c>
      <c r="C52" s="59"/>
      <c r="D52" s="59"/>
      <c r="F52" s="59" t="s">
        <v>68</v>
      </c>
      <c r="G52" s="59"/>
      <c r="H52" s="60">
        <f>K34+K36+K39+K40</f>
        <v>0</v>
      </c>
      <c r="I52" s="59"/>
      <c r="J52" s="59"/>
      <c r="S52" s="26"/>
    </row>
    <row r="53" spans="2:19" x14ac:dyDescent="0.2">
      <c r="B53" s="59" t="s">
        <v>69</v>
      </c>
      <c r="C53" s="59"/>
      <c r="D53" s="60">
        <v>31500</v>
      </c>
      <c r="F53" s="59" t="s">
        <v>70</v>
      </c>
      <c r="G53" s="59"/>
      <c r="H53" s="61">
        <f>H51+H52</f>
        <v>0</v>
      </c>
      <c r="I53" s="62" t="s">
        <v>71</v>
      </c>
      <c r="J53" s="63" t="s">
        <v>72</v>
      </c>
      <c r="N53" t="s">
        <v>73</v>
      </c>
      <c r="S53" s="26"/>
    </row>
    <row r="54" spans="2:19" x14ac:dyDescent="0.2">
      <c r="B54" s="59" t="s">
        <v>74</v>
      </c>
      <c r="C54" s="59"/>
      <c r="D54" s="60">
        <v>3200</v>
      </c>
      <c r="F54" s="59" t="s">
        <v>75</v>
      </c>
      <c r="G54" s="59"/>
      <c r="H54" s="60">
        <v>30000</v>
      </c>
      <c r="I54" s="64">
        <v>0</v>
      </c>
      <c r="J54" s="60">
        <f>H54*I54</f>
        <v>0</v>
      </c>
      <c r="S54" s="26"/>
    </row>
    <row r="55" spans="2:19" x14ac:dyDescent="0.2">
      <c r="B55" s="59" t="s">
        <v>76</v>
      </c>
      <c r="C55" s="59"/>
      <c r="D55" s="65" t="s">
        <v>77</v>
      </c>
      <c r="F55" s="59" t="s">
        <v>78</v>
      </c>
      <c r="G55" s="59"/>
      <c r="H55" s="60">
        <f>MAX(0,IF(H53-H54&lt;0,0,IF(H53-H54&gt;9000,9000,H53-H54)))</f>
        <v>0</v>
      </c>
      <c r="I55" s="64">
        <v>0.5</v>
      </c>
      <c r="J55" s="60">
        <f t="shared" ref="J55:J56" si="1">H55*I55</f>
        <v>0</v>
      </c>
      <c r="S55" s="26"/>
    </row>
    <row r="56" spans="2:19" x14ac:dyDescent="0.2">
      <c r="B56" s="59" t="s">
        <v>79</v>
      </c>
      <c r="C56" s="59"/>
      <c r="D56" s="66" t="s">
        <v>80</v>
      </c>
      <c r="F56" s="59" t="s">
        <v>81</v>
      </c>
      <c r="G56" s="59"/>
      <c r="H56" s="60">
        <f>IF(H55=0,0,H53-H54-H55)</f>
        <v>0</v>
      </c>
      <c r="I56" s="64">
        <v>0.85</v>
      </c>
      <c r="J56" s="60">
        <f t="shared" si="1"/>
        <v>0</v>
      </c>
      <c r="S56" s="26"/>
    </row>
    <row r="57" spans="2:19" x14ac:dyDescent="0.2">
      <c r="B57" s="59"/>
      <c r="C57" s="59"/>
      <c r="D57" s="67" t="s">
        <v>82</v>
      </c>
      <c r="F57" s="59"/>
      <c r="G57" s="59"/>
      <c r="H57" s="60"/>
      <c r="I57" s="64" t="s">
        <v>83</v>
      </c>
      <c r="J57" s="61">
        <f>SUM(J54:J56)</f>
        <v>0</v>
      </c>
      <c r="S57" s="26"/>
    </row>
    <row r="58" spans="2:19" x14ac:dyDescent="0.2">
      <c r="F58" s="59"/>
      <c r="G58" s="59"/>
      <c r="H58" s="68"/>
      <c r="I58" s="69" t="s">
        <v>84</v>
      </c>
      <c r="J58" s="70">
        <f>IF(SUM(J54:J56)&lt;H37*0.85,SUM(J54:J56),H37*0.85)</f>
        <v>0</v>
      </c>
      <c r="S58" s="26"/>
    </row>
    <row r="59" spans="2:19" x14ac:dyDescent="0.2">
      <c r="F59" s="59"/>
      <c r="G59" s="59"/>
      <c r="H59" s="59"/>
      <c r="I59" s="59" t="s">
        <v>85</v>
      </c>
      <c r="J59" s="71" t="e">
        <f>J58/H37</f>
        <v>#DIV/0!</v>
      </c>
      <c r="S59" s="26"/>
    </row>
    <row r="60" spans="2:19" ht="8" customHeight="1" x14ac:dyDescent="0.2">
      <c r="J60" s="72"/>
      <c r="S60" s="26"/>
    </row>
    <row r="61" spans="2:19" x14ac:dyDescent="0.2">
      <c r="D61" s="73"/>
      <c r="G61" s="59"/>
      <c r="H61" s="59"/>
      <c r="I61" s="74"/>
      <c r="J61" s="75" t="s">
        <v>86</v>
      </c>
      <c r="S61" s="26"/>
    </row>
    <row r="62" spans="2:19" x14ac:dyDescent="0.2">
      <c r="D62" s="73"/>
      <c r="G62" s="59" t="s">
        <v>87</v>
      </c>
      <c r="H62" s="63"/>
      <c r="I62" s="63"/>
      <c r="J62" s="76" t="s">
        <v>88</v>
      </c>
      <c r="S62" s="26"/>
    </row>
    <row r="63" spans="2:19" x14ac:dyDescent="0.2">
      <c r="D63" s="73"/>
      <c r="G63" s="77" t="s">
        <v>89</v>
      </c>
      <c r="H63" s="77" t="s">
        <v>90</v>
      </c>
      <c r="I63" s="77" t="s">
        <v>91</v>
      </c>
      <c r="J63" s="75"/>
      <c r="S63" s="26"/>
    </row>
    <row r="64" spans="2:19" x14ac:dyDescent="0.2">
      <c r="D64" s="73"/>
      <c r="G64" s="78">
        <v>0.1</v>
      </c>
      <c r="H64" s="52">
        <f>23850</f>
        <v>23850</v>
      </c>
      <c r="I64" s="52">
        <f>MAX(0,IF($I$44-H64&gt;=H64,G64*H64,G64*$I$44))</f>
        <v>0</v>
      </c>
      <c r="J64" s="79">
        <f>G64*H64</f>
        <v>2385</v>
      </c>
      <c r="S64" s="26"/>
    </row>
    <row r="65" spans="1:19" x14ac:dyDescent="0.2">
      <c r="D65" s="73"/>
      <c r="G65" s="78">
        <v>0.12</v>
      </c>
      <c r="H65" s="52">
        <f>96950</f>
        <v>96950</v>
      </c>
      <c r="I65" s="52">
        <f t="shared" ref="I65:I70" si="2">MAX(0,IF($I$44&gt;=H65,G65*(H65-H64),G65*($I$44-H64)))</f>
        <v>0</v>
      </c>
      <c r="J65" s="80">
        <f>G65*(H65-H64)</f>
        <v>8772</v>
      </c>
      <c r="S65" s="26"/>
    </row>
    <row r="66" spans="1:19" x14ac:dyDescent="0.2">
      <c r="D66" s="73"/>
      <c r="G66" s="78">
        <v>0.22</v>
      </c>
      <c r="H66" s="52">
        <f>206700</f>
        <v>206700</v>
      </c>
      <c r="I66" s="52">
        <f t="shared" si="2"/>
        <v>0</v>
      </c>
      <c r="J66" s="80">
        <f>G66*(H66-H65)</f>
        <v>24145</v>
      </c>
      <c r="S66" s="26"/>
    </row>
    <row r="67" spans="1:19" x14ac:dyDescent="0.2">
      <c r="D67" s="73"/>
      <c r="G67" s="78">
        <v>0.24</v>
      </c>
      <c r="H67" s="52">
        <f>394600</f>
        <v>394600</v>
      </c>
      <c r="I67" s="52">
        <f t="shared" si="2"/>
        <v>0</v>
      </c>
      <c r="J67" s="80">
        <f>G67*(H67-H66)</f>
        <v>45096</v>
      </c>
      <c r="S67" s="26"/>
    </row>
    <row r="68" spans="1:19" x14ac:dyDescent="0.2">
      <c r="D68" s="73"/>
      <c r="G68" s="78">
        <v>0.32</v>
      </c>
      <c r="H68" s="52">
        <f>501050</f>
        <v>501050</v>
      </c>
      <c r="I68" s="52">
        <f t="shared" si="2"/>
        <v>0</v>
      </c>
      <c r="J68" s="80">
        <f>G68*(H68-H67)</f>
        <v>34064</v>
      </c>
      <c r="S68" s="26"/>
    </row>
    <row r="69" spans="1:19" x14ac:dyDescent="0.2">
      <c r="D69" s="73"/>
      <c r="G69" s="78">
        <v>0.35</v>
      </c>
      <c r="H69" s="52">
        <v>751600</v>
      </c>
      <c r="I69" s="52">
        <f t="shared" si="2"/>
        <v>0</v>
      </c>
      <c r="J69" s="80">
        <f>G69*(H69-H68)</f>
        <v>87692.5</v>
      </c>
      <c r="S69" s="26"/>
    </row>
    <row r="70" spans="1:19" x14ac:dyDescent="0.2">
      <c r="D70" s="73"/>
      <c r="G70" s="78">
        <v>0.37</v>
      </c>
      <c r="H70" s="59"/>
      <c r="I70" s="52">
        <f t="shared" si="2"/>
        <v>0</v>
      </c>
      <c r="J70" s="81"/>
      <c r="S70" s="26"/>
    </row>
    <row r="71" spans="1:19" x14ac:dyDescent="0.2">
      <c r="A71" s="82" t="s">
        <v>92</v>
      </c>
      <c r="D71" s="73"/>
      <c r="G71" s="59"/>
      <c r="H71" s="65" t="s">
        <v>93</v>
      </c>
      <c r="I71" s="83">
        <f>SUM(I64:I70)</f>
        <v>0</v>
      </c>
      <c r="J71" s="81"/>
      <c r="S71" s="26"/>
    </row>
    <row r="72" spans="1:19" x14ac:dyDescent="0.2">
      <c r="D72" s="73"/>
      <c r="S72" s="26"/>
    </row>
    <row r="73" spans="1:19" x14ac:dyDescent="0.2">
      <c r="K73" s="16"/>
      <c r="L73" s="84"/>
    </row>
    <row r="74" spans="1:19" x14ac:dyDescent="0.2">
      <c r="K74" s="85"/>
      <c r="L74" s="86"/>
    </row>
    <row r="75" spans="1:19" x14ac:dyDescent="0.2">
      <c r="L75" s="26"/>
    </row>
    <row r="76" spans="1:19" ht="25" customHeight="1" x14ac:dyDescent="0.2">
      <c r="K76" s="87"/>
      <c r="L76" s="88"/>
    </row>
    <row r="77" spans="1:19" x14ac:dyDescent="0.2">
      <c r="K77" s="87"/>
      <c r="L77" s="88"/>
    </row>
    <row r="78" spans="1:19" x14ac:dyDescent="0.2">
      <c r="L78" s="26"/>
    </row>
    <row r="79" spans="1:19" x14ac:dyDescent="0.2">
      <c r="L79" s="26"/>
    </row>
    <row r="80" spans="1:19" x14ac:dyDescent="0.2">
      <c r="L80" s="26"/>
    </row>
  </sheetData>
  <mergeCells count="9">
    <mergeCell ref="I47:J47"/>
    <mergeCell ref="K76:K77"/>
    <mergeCell ref="L76:L77"/>
    <mergeCell ref="I30:J30"/>
    <mergeCell ref="I31:I32"/>
    <mergeCell ref="J31:J32"/>
    <mergeCell ref="K31:K32"/>
    <mergeCell ref="B34:C35"/>
    <mergeCell ref="D34:D35"/>
  </mergeCells>
  <pageMargins left="0.7" right="0.7" top="0.75" bottom="0.75" header="0.3" footer="0.3"/>
  <pageSetup scale="61" orientation="portrait" horizontalDpi="0" verticalDpi="0"/>
  <headerFooter>
    <oddHeader>&amp;C&amp;"Roboto Regular,Regular"&amp;14&amp;K000000Tax return 2025 for Married, Joint filers. Both over age 65.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Canfield</dc:creator>
  <cp:lastModifiedBy>Thomas Canfield</cp:lastModifiedBy>
  <dcterms:created xsi:type="dcterms:W3CDTF">2025-11-30T16:23:56Z</dcterms:created>
  <dcterms:modified xsi:type="dcterms:W3CDTF">2025-11-30T16:25:01Z</dcterms:modified>
</cp:coreProperties>
</file>