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Canfield/Documents/     Book  Blogs/   Blogs Published/04 20/04 24 Decide to sell specific fund/"/>
    </mc:Choice>
  </mc:AlternateContent>
  <xr:revisionPtr revIDLastSave="0" documentId="13_ncr:1_{C2013E26-D62A-A144-B366-3364169871A8}" xr6:coauthVersionLast="45" xr6:coauthVersionMax="45" xr10:uidLastSave="{00000000-0000-0000-0000-000000000000}"/>
  <bookViews>
    <workbookView xWindow="24580" yWindow="4440" windowWidth="26620" windowHeight="22200" xr2:uid="{8C124FD7-CB1B-DB4F-AEC0-80E59A248074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4" i="2" s="1"/>
  <c r="G16" i="2"/>
  <c r="G19" i="2" s="1"/>
  <c r="G20" i="2" s="1"/>
  <c r="G24" i="2"/>
  <c r="G27" i="2" s="1"/>
  <c r="G28" i="2" s="1"/>
  <c r="G25" i="2"/>
  <c r="G26" i="2" s="1"/>
  <c r="G33" i="2"/>
  <c r="G17" i="2" l="1"/>
  <c r="G18" i="2" s="1"/>
  <c r="G21" i="2" s="1"/>
  <c r="G29" i="2"/>
  <c r="G32" i="2" s="1"/>
  <c r="G34" i="2" s="1"/>
  <c r="G15" i="2"/>
  <c r="A16" i="2"/>
  <c r="J37" i="2"/>
  <c r="A34" i="2"/>
  <c r="K32" i="2"/>
  <c r="K31" i="2"/>
  <c r="K30" i="2"/>
  <c r="K29" i="2"/>
  <c r="J29" i="2"/>
  <c r="C29" i="2"/>
  <c r="K28" i="2"/>
  <c r="J28" i="2"/>
  <c r="A28" i="2"/>
  <c r="K27" i="2"/>
  <c r="L27" i="2" s="1"/>
  <c r="C27" i="2"/>
  <c r="A26" i="2"/>
  <c r="C25" i="2"/>
  <c r="A14" i="2"/>
  <c r="J13" i="2"/>
  <c r="J12" i="2"/>
  <c r="C5" i="2"/>
  <c r="C6" i="2" s="1"/>
  <c r="C8" i="1"/>
  <c r="C9" i="1" s="1"/>
  <c r="A38" i="1"/>
  <c r="A32" i="1"/>
  <c r="A29" i="1"/>
  <c r="A17" i="1"/>
  <c r="C31" i="1"/>
  <c r="C28" i="1"/>
  <c r="C33" i="1"/>
  <c r="C32" i="1" l="1"/>
  <c r="C10" i="1"/>
  <c r="C11" i="1" s="1"/>
  <c r="C15" i="1" s="1"/>
  <c r="C37" i="1"/>
  <c r="D37" i="1" s="1"/>
  <c r="E37" i="1" s="1"/>
  <c r="F37" i="1" s="1"/>
  <c r="G37" i="1" s="1"/>
  <c r="H37" i="1" s="1"/>
  <c r="G30" i="2"/>
  <c r="G31" i="2" s="1"/>
  <c r="G35" i="2" s="1"/>
  <c r="L28" i="2"/>
  <c r="C28" i="2"/>
  <c r="L29" i="2"/>
  <c r="L30" i="2" s="1"/>
  <c r="L31" i="2" s="1"/>
  <c r="C32" i="2"/>
  <c r="C34" i="2" s="1"/>
  <c r="C26" i="2"/>
  <c r="C7" i="2"/>
  <c r="C8" i="2" s="1"/>
  <c r="C12" i="2" s="1"/>
  <c r="C33" i="2"/>
  <c r="D33" i="2" s="1"/>
  <c r="E33" i="2" s="1"/>
  <c r="F33" i="2" s="1"/>
  <c r="C36" i="1"/>
  <c r="C29" i="1"/>
  <c r="C34" i="1" s="1"/>
  <c r="C30" i="1" l="1"/>
  <c r="I37" i="1"/>
  <c r="J37" i="1" s="1"/>
  <c r="K37" i="1" s="1"/>
  <c r="L37" i="1" s="1"/>
  <c r="C30" i="2"/>
  <c r="C31" i="2" s="1"/>
  <c r="D24" i="2" s="1"/>
  <c r="C38" i="1"/>
  <c r="C35" i="2"/>
  <c r="D25" i="2"/>
  <c r="D29" i="2"/>
  <c r="D27" i="2"/>
  <c r="D28" i="2" s="1"/>
  <c r="C39" i="2"/>
  <c r="C13" i="2"/>
  <c r="C16" i="2"/>
  <c r="C19" i="2" s="1"/>
  <c r="C35" i="1"/>
  <c r="C14" i="2" l="1"/>
  <c r="C17" i="2" s="1"/>
  <c r="C18" i="2" s="1"/>
  <c r="C40" i="2"/>
  <c r="D32" i="2"/>
  <c r="D34" i="2" s="1"/>
  <c r="C20" i="2"/>
  <c r="D26" i="2"/>
  <c r="D30" i="2" s="1"/>
  <c r="D31" i="2" s="1"/>
  <c r="D27" i="1"/>
  <c r="D31" i="1" s="1"/>
  <c r="D32" i="1" s="1"/>
  <c r="C39" i="1"/>
  <c r="D28" i="1" l="1"/>
  <c r="D35" i="2"/>
  <c r="E24" i="2"/>
  <c r="C21" i="2"/>
  <c r="D12" i="2"/>
  <c r="C44" i="2"/>
  <c r="C41" i="2"/>
  <c r="C15" i="2"/>
  <c r="D33" i="1"/>
  <c r="D36" i="1" s="1"/>
  <c r="D38" i="1" s="1"/>
  <c r="D29" i="1" l="1"/>
  <c r="D30" i="1"/>
  <c r="D34" i="1"/>
  <c r="D35" i="1" s="1"/>
  <c r="E27" i="1" s="1"/>
  <c r="E31" i="1" s="1"/>
  <c r="E29" i="2"/>
  <c r="E27" i="2"/>
  <c r="E28" i="2" s="1"/>
  <c r="E25" i="2"/>
  <c r="C42" i="2"/>
  <c r="C45" i="2" s="1"/>
  <c r="C46" i="2" s="1"/>
  <c r="C48" i="2" s="1"/>
  <c r="C49" i="2"/>
  <c r="D16" i="2"/>
  <c r="D19" i="2" s="1"/>
  <c r="D13" i="2"/>
  <c r="D39" i="1" l="1"/>
  <c r="C43" i="2"/>
  <c r="C50" i="2"/>
  <c r="C51" i="2" s="1"/>
  <c r="C52" i="2" s="1"/>
  <c r="D14" i="2"/>
  <c r="D15" i="2" s="1"/>
  <c r="D20" i="2"/>
  <c r="E26" i="2"/>
  <c r="E30" i="2" s="1"/>
  <c r="E31" i="2" s="1"/>
  <c r="E32" i="2"/>
  <c r="E34" i="2" s="1"/>
  <c r="E32" i="1"/>
  <c r="E33" i="1"/>
  <c r="E36" i="1" s="1"/>
  <c r="E38" i="1" s="1"/>
  <c r="E28" i="1"/>
  <c r="E35" i="2" l="1"/>
  <c r="F24" i="2"/>
  <c r="D17" i="2"/>
  <c r="D18" i="2" s="1"/>
  <c r="E29" i="1"/>
  <c r="E34" i="1" s="1"/>
  <c r="E35" i="1" s="1"/>
  <c r="E30" i="1" l="1"/>
  <c r="F27" i="2"/>
  <c r="F28" i="2" s="1"/>
  <c r="F29" i="2"/>
  <c r="F25" i="2"/>
  <c r="D21" i="2"/>
  <c r="E12" i="2"/>
  <c r="F27" i="1"/>
  <c r="E39" i="1"/>
  <c r="F31" i="1" l="1"/>
  <c r="F32" i="1" s="1"/>
  <c r="F33" i="1"/>
  <c r="F28" i="1"/>
  <c r="F32" i="2"/>
  <c r="F34" i="2" s="1"/>
  <c r="E13" i="2"/>
  <c r="E16" i="2"/>
  <c r="E19" i="2" s="1"/>
  <c r="F26" i="2"/>
  <c r="F30" i="2" s="1"/>
  <c r="F31" i="2" s="1"/>
  <c r="F35" i="2" s="1"/>
  <c r="F29" i="1" l="1"/>
  <c r="F30" i="1"/>
  <c r="F34" i="1"/>
  <c r="F35" i="1" s="1"/>
  <c r="F36" i="1"/>
  <c r="F38" i="1" s="1"/>
  <c r="E20" i="2"/>
  <c r="E14" i="2"/>
  <c r="E15" i="2" s="1"/>
  <c r="F39" i="1" l="1"/>
  <c r="G27" i="1"/>
  <c r="G31" i="1" s="1"/>
  <c r="E17" i="2"/>
  <c r="E18" i="2" s="1"/>
  <c r="G32" i="1" l="1"/>
  <c r="G28" i="1"/>
  <c r="G33" i="1"/>
  <c r="E21" i="2"/>
  <c r="F12" i="2"/>
  <c r="G36" i="1" l="1"/>
  <c r="G38" i="1" s="1"/>
  <c r="G29" i="1"/>
  <c r="G34" i="1" s="1"/>
  <c r="G35" i="1" s="1"/>
  <c r="H27" i="1" s="1"/>
  <c r="F16" i="2"/>
  <c r="F19" i="2" s="1"/>
  <c r="F20" i="2" s="1"/>
  <c r="F13" i="2"/>
  <c r="G30" i="1" l="1"/>
  <c r="H33" i="1"/>
  <c r="H31" i="1"/>
  <c r="H32" i="1" s="1"/>
  <c r="H28" i="1"/>
  <c r="G39" i="1"/>
  <c r="F14" i="2"/>
  <c r="F17" i="2" s="1"/>
  <c r="F18" i="2" s="1"/>
  <c r="F21" i="2" s="1"/>
  <c r="H29" i="1" l="1"/>
  <c r="H30" i="1" s="1"/>
  <c r="H36" i="1"/>
  <c r="H38" i="1" s="1"/>
  <c r="F15" i="2"/>
  <c r="H34" i="1" l="1"/>
  <c r="H35" i="1" s="1"/>
  <c r="I27" i="1" s="1"/>
  <c r="I33" i="1" s="1"/>
  <c r="C19" i="1"/>
  <c r="C22" i="1" s="1"/>
  <c r="C23" i="1" s="1"/>
  <c r="C16" i="1"/>
  <c r="I31" i="1" l="1"/>
  <c r="I32" i="1" s="1"/>
  <c r="I28" i="1"/>
  <c r="H39" i="1"/>
  <c r="I29" i="1"/>
  <c r="I34" i="1" s="1"/>
  <c r="I35" i="1" s="1"/>
  <c r="I36" i="1"/>
  <c r="I38" i="1" s="1"/>
  <c r="C17" i="1"/>
  <c r="C20" i="1" s="1"/>
  <c r="I30" i="1" l="1"/>
  <c r="I39" i="1"/>
  <c r="J27" i="1"/>
  <c r="C18" i="1"/>
  <c r="C21" i="1"/>
  <c r="C24" i="1" s="1"/>
  <c r="C41" i="1" s="1"/>
  <c r="C42" i="1" s="1"/>
  <c r="J31" i="1" l="1"/>
  <c r="J32" i="1" s="1"/>
  <c r="J33" i="1"/>
  <c r="J28" i="1"/>
  <c r="D15" i="1"/>
  <c r="D16" i="1" s="1"/>
  <c r="J36" i="1" l="1"/>
  <c r="J38" i="1" s="1"/>
  <c r="J29" i="1"/>
  <c r="J34" i="1" s="1"/>
  <c r="J35" i="1" s="1"/>
  <c r="D19" i="1"/>
  <c r="D22" i="1" s="1"/>
  <c r="D23" i="1" s="1"/>
  <c r="D17" i="1"/>
  <c r="D18" i="1" s="1"/>
  <c r="J30" i="1" l="1"/>
  <c r="K27" i="1"/>
  <c r="J39" i="1"/>
  <c r="D20" i="1"/>
  <c r="D21" i="1" s="1"/>
  <c r="K31" i="1" l="1"/>
  <c r="K32" i="1" s="1"/>
  <c r="K33" i="1"/>
  <c r="K28" i="1"/>
  <c r="E15" i="1"/>
  <c r="E19" i="1" s="1"/>
  <c r="E22" i="1" s="1"/>
  <c r="D24" i="1"/>
  <c r="D41" i="1" s="1"/>
  <c r="D42" i="1" s="1"/>
  <c r="K29" i="1" l="1"/>
  <c r="K30" i="1"/>
  <c r="K36" i="1"/>
  <c r="K38" i="1" s="1"/>
  <c r="K34" i="1"/>
  <c r="K35" i="1" s="1"/>
  <c r="L27" i="1" s="1"/>
  <c r="E16" i="1"/>
  <c r="E17" i="1" s="1"/>
  <c r="E18" i="1" s="1"/>
  <c r="E23" i="1"/>
  <c r="K39" i="1" l="1"/>
  <c r="L31" i="1"/>
  <c r="L32" i="1" s="1"/>
  <c r="L28" i="1"/>
  <c r="L33" i="1"/>
  <c r="L36" i="1" s="1"/>
  <c r="L38" i="1" s="1"/>
  <c r="E20" i="1"/>
  <c r="E21" i="1" s="1"/>
  <c r="L29" i="1" l="1"/>
  <c r="L34" i="1" s="1"/>
  <c r="L35" i="1" s="1"/>
  <c r="L39" i="1" s="1"/>
  <c r="F15" i="1"/>
  <c r="F16" i="1" s="1"/>
  <c r="E24" i="1"/>
  <c r="E41" i="1" s="1"/>
  <c r="E42" i="1" s="1"/>
  <c r="L30" i="1" l="1"/>
  <c r="F19" i="1"/>
  <c r="F22" i="1" s="1"/>
  <c r="F23" i="1" s="1"/>
  <c r="F17" i="1"/>
  <c r="F18" i="1" s="1"/>
  <c r="F20" i="1" l="1"/>
  <c r="F21" i="1" s="1"/>
  <c r="F24" i="1" l="1"/>
  <c r="F41" i="1" s="1"/>
  <c r="F42" i="1" s="1"/>
  <c r="G15" i="1"/>
  <c r="G16" i="1" l="1"/>
  <c r="G19" i="1"/>
  <c r="G22" i="1" s="1"/>
  <c r="G23" i="1" l="1"/>
  <c r="G17" i="1"/>
  <c r="G18" i="1" s="1"/>
  <c r="G20" i="1"/>
  <c r="G21" i="1" s="1"/>
  <c r="G24" i="1" l="1"/>
  <c r="G41" i="1" s="1"/>
  <c r="G42" i="1" s="1"/>
  <c r="H15" i="1"/>
  <c r="H16" i="1" l="1"/>
  <c r="H19" i="1"/>
  <c r="H22" i="1" s="1"/>
  <c r="H23" i="1" s="1"/>
  <c r="H17" i="1" l="1"/>
  <c r="H18" i="1" s="1"/>
  <c r="H20" i="1" l="1"/>
  <c r="H21" i="1" s="1"/>
  <c r="H24" i="1" s="1"/>
  <c r="H41" i="1" s="1"/>
  <c r="H42" i="1" s="1"/>
  <c r="I15" i="1" l="1"/>
  <c r="I16" i="1"/>
  <c r="I19" i="1"/>
  <c r="I22" i="1" s="1"/>
  <c r="I23" i="1" s="1"/>
  <c r="I17" i="1" l="1"/>
  <c r="I20" i="1" s="1"/>
  <c r="I21" i="1" s="1"/>
  <c r="I18" i="1" l="1"/>
  <c r="I24" i="1"/>
  <c r="I41" i="1" s="1"/>
  <c r="I42" i="1" s="1"/>
  <c r="J15" i="1"/>
  <c r="J16" i="1" l="1"/>
  <c r="J19" i="1"/>
  <c r="J22" i="1" s="1"/>
  <c r="J23" i="1" s="1"/>
  <c r="J17" i="1" l="1"/>
  <c r="J18" i="1" s="1"/>
  <c r="J20" i="1" l="1"/>
  <c r="J21" i="1" s="1"/>
  <c r="J24" i="1"/>
  <c r="J41" i="1" s="1"/>
  <c r="J42" i="1" s="1"/>
  <c r="K15" i="1"/>
  <c r="K16" i="1" l="1"/>
  <c r="K19" i="1"/>
  <c r="K22" i="1" s="1"/>
  <c r="K23" i="1" s="1"/>
  <c r="K17" i="1" l="1"/>
  <c r="K18" i="1" s="1"/>
  <c r="K20" i="1" l="1"/>
  <c r="K21" i="1" s="1"/>
  <c r="K24" i="1" s="1"/>
  <c r="K41" i="1" s="1"/>
  <c r="K42" i="1" s="1"/>
  <c r="L15" i="1" l="1"/>
  <c r="L16" i="1"/>
  <c r="L19" i="1"/>
  <c r="L22" i="1" s="1"/>
  <c r="L23" i="1" s="1"/>
  <c r="L17" i="1" l="1"/>
  <c r="L18" i="1" s="1"/>
  <c r="L20" i="1" l="1"/>
  <c r="L21" i="1" s="1"/>
  <c r="L24" i="1" s="1"/>
  <c r="L41" i="1" s="1"/>
  <c r="L42" i="1" s="1"/>
</calcChain>
</file>

<file path=xl/sharedStrings.xml><?xml version="1.0" encoding="utf-8"?>
<sst xmlns="http://schemas.openxmlformats.org/spreadsheetml/2006/main" count="89" uniqueCount="56">
  <si>
    <t>Net to invest</t>
  </si>
  <si>
    <t>Invested</t>
  </si>
  <si>
    <t>Dividend</t>
  </si>
  <si>
    <t>Tax</t>
  </si>
  <si>
    <t>Net increase in Value</t>
  </si>
  <si>
    <t>Cumulative Gain not Taxed</t>
  </si>
  <si>
    <t>Net After Tax</t>
  </si>
  <si>
    <t>Capital Gains Distributed</t>
  </si>
  <si>
    <t>Prior Gain Not Taxed</t>
  </si>
  <si>
    <t>Tax paid in year</t>
  </si>
  <si>
    <t>Gain from price appreciation</t>
  </si>
  <si>
    <t>Added tax paid on Cap Gains Dist</t>
  </si>
  <si>
    <t>Buy VTSAX</t>
  </si>
  <si>
    <t>FMIHX</t>
  </si>
  <si>
    <t>k</t>
  </si>
  <si>
    <t>kk</t>
  </si>
  <si>
    <t>Invested at Beginning of Year</t>
  </si>
  <si>
    <t>Proceeds if sold</t>
  </si>
  <si>
    <t>Value at end of year</t>
  </si>
  <si>
    <t>Cost Basis at End of Year</t>
  </si>
  <si>
    <t>Gain</t>
  </si>
  <si>
    <t>Net Proceeds</t>
  </si>
  <si>
    <t>Cost Basis at Beginning of Year</t>
  </si>
  <si>
    <t>Dividends reinvested</t>
  </si>
  <si>
    <t>Net to Reinvest</t>
  </si>
  <si>
    <t>Increase in Value</t>
  </si>
  <si>
    <t xml:space="preserve">Cumulative Gain Not Yet Taxed </t>
  </si>
  <si>
    <t>Invested end of year; proceeds if sold</t>
  </si>
  <si>
    <t>Added tax if sold at year end</t>
  </si>
  <si>
    <t>Capital Gains Tax (Fed + State)</t>
  </si>
  <si>
    <t xml:space="preserve">Cost Basis </t>
  </si>
  <si>
    <t xml:space="preserve">Taxable Gain </t>
  </si>
  <si>
    <t xml:space="preserve">Value </t>
  </si>
  <si>
    <t>Sell FMIHX now</t>
  </si>
  <si>
    <t>Option 1</t>
  </si>
  <si>
    <t>Option 2</t>
  </si>
  <si>
    <t>Sell FCNTX now</t>
  </si>
  <si>
    <t>Buy VIGRX</t>
  </si>
  <si>
    <r>
      <t>K</t>
    </r>
    <r>
      <rPr>
        <b/>
        <sz val="12"/>
        <color theme="1"/>
        <rFont val="Calibri"/>
        <family val="2"/>
        <scheme val="minor"/>
      </rPr>
      <t>eep FCNTX. Sell Later</t>
    </r>
    <r>
      <rPr>
        <sz val="12"/>
        <color theme="1"/>
        <rFont val="Calibri"/>
        <family val="2"/>
        <scheme val="minor"/>
      </rPr>
      <t>. Total return = 6.5%. 1% Dividend and 5.5% Price Appreciation. Cap Gains Distributions = 2%.</t>
    </r>
  </si>
  <si>
    <t>Total return = 7.0%. 1% Dividend and 6% Price Appreciation. No Cap Gains Distributions</t>
  </si>
  <si>
    <t>Dividends</t>
  </si>
  <si>
    <t xml:space="preserve">Current Cost Basis </t>
  </si>
  <si>
    <t>Original Gain Not Taxed</t>
  </si>
  <si>
    <t>Total Gains Tax if sold at year end</t>
  </si>
  <si>
    <t>This is 15% Federal and 3% PA, where Jay lives</t>
  </si>
  <si>
    <r>
      <t xml:space="preserve">Buy VTSAX. </t>
    </r>
    <r>
      <rPr>
        <sz val="12"/>
        <color theme="1"/>
        <rFont val="Calibri"/>
        <family val="2"/>
        <scheme val="minor"/>
      </rPr>
      <t>Total real return = 7.0%. 2% Dividend and 5% Price Appreciation. No Cap Gains Distributions.</t>
    </r>
  </si>
  <si>
    <r>
      <t>K</t>
    </r>
    <r>
      <rPr>
        <b/>
        <sz val="12"/>
        <color theme="1"/>
        <rFont val="Calibri"/>
        <family val="2"/>
        <scheme val="minor"/>
      </rPr>
      <t xml:space="preserve">eep FMIHX. </t>
    </r>
    <r>
      <rPr>
        <sz val="12"/>
        <color theme="1"/>
        <rFont val="Calibri"/>
        <family val="2"/>
        <scheme val="minor"/>
      </rPr>
      <t>Total real return = 6.2%. 2% Dividend and 4.2% Price Appreciation. Cap Gains Distributions = 0%.</t>
    </r>
  </si>
  <si>
    <t>Invested end of year &amp; proceeds if sold</t>
  </si>
  <si>
    <t>Invested  at start of year</t>
  </si>
  <si>
    <t>Invested at start of year</t>
  </si>
  <si>
    <t>Key assumptions: Initial $10,000. 7% real return rate in future (very close to actual expected return rate)</t>
  </si>
  <si>
    <t>You enter your data in these highlighted cells.</t>
  </si>
  <si>
    <t>I ignore the tax effects due to inflation.</t>
  </si>
  <si>
    <r>
      <t>Index Fund B</t>
    </r>
    <r>
      <rPr>
        <sz val="12"/>
        <color rgb="FFFF0000"/>
        <rFont val="Calibri"/>
        <family val="2"/>
        <scheme val="minor"/>
      </rPr>
      <t>(</t>
    </r>
    <r>
      <rPr>
        <sz val="12"/>
        <color rgb="FFFF0000"/>
        <rFont val="Calibri (Body)"/>
      </rPr>
      <t>W</t>
    </r>
    <r>
      <rPr>
        <sz val="12"/>
        <color rgb="FFFF0000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 xml:space="preserve"> than Active Fund</t>
    </r>
  </si>
  <si>
    <r>
      <t>Percent B(</t>
    </r>
    <r>
      <rPr>
        <sz val="12"/>
        <color rgb="FFFF0000"/>
        <rFont val="Calibri (Body)"/>
      </rPr>
      <t>W</t>
    </r>
    <r>
      <rPr>
        <sz val="12"/>
        <color theme="1"/>
        <rFont val="Calibri"/>
        <family val="2"/>
        <scheme val="minor"/>
      </rPr>
      <t>)</t>
    </r>
  </si>
  <si>
    <t>Net Proceeds after tax if sold 
at 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</si>
</sst>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%;[Red]\(0.0%\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2"/>
      <color rgb="FFFF0000"/>
      <name val="Calibri (Body)"/>
    </font>
    <font>
      <b/>
      <sz val="12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D5FED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9" fontId="0" fillId="0" borderId="0" xfId="0" applyNumberFormat="1"/>
    <xf numFmtId="164" fontId="0" fillId="0" borderId="0" xfId="1" applyNumberFormat="1" applyFont="1"/>
    <xf numFmtId="0" fontId="3" fillId="0" borderId="0" xfId="0" applyFont="1"/>
    <xf numFmtId="164" fontId="3" fillId="0" borderId="0" xfId="1" applyNumberFormat="1" applyFont="1"/>
    <xf numFmtId="164" fontId="0" fillId="0" borderId="1" xfId="1" applyNumberFormat="1" applyFont="1" applyBorder="1"/>
    <xf numFmtId="0" fontId="2" fillId="0" borderId="0" xfId="0" applyFont="1"/>
    <xf numFmtId="0" fontId="4" fillId="0" borderId="0" xfId="0" applyFont="1"/>
    <xf numFmtId="164" fontId="4" fillId="0" borderId="0" xfId="1" applyNumberFormat="1" applyFont="1"/>
    <xf numFmtId="10" fontId="0" fillId="0" borderId="0" xfId="2" applyNumberFormat="1" applyFont="1"/>
    <xf numFmtId="10" fontId="0" fillId="0" borderId="0" xfId="0" applyNumberFormat="1"/>
    <xf numFmtId="43" fontId="0" fillId="0" borderId="0" xfId="1" applyFont="1"/>
    <xf numFmtId="164" fontId="0" fillId="0" borderId="0" xfId="0" applyNumberFormat="1"/>
    <xf numFmtId="164" fontId="0" fillId="0" borderId="0" xfId="1" applyNumberFormat="1" applyFont="1" applyBorder="1"/>
    <xf numFmtId="0" fontId="5" fillId="0" borderId="0" xfId="0" applyFont="1"/>
    <xf numFmtId="164" fontId="5" fillId="0" borderId="1" xfId="1" applyNumberFormat="1" applyFont="1" applyBorder="1"/>
    <xf numFmtId="9" fontId="3" fillId="0" borderId="0" xfId="0" applyNumberFormat="1" applyFont="1"/>
    <xf numFmtId="3" fontId="0" fillId="0" borderId="1" xfId="0" applyNumberFormat="1" applyBorder="1"/>
    <xf numFmtId="0" fontId="2" fillId="0" borderId="0" xfId="0" applyFont="1" applyAlignment="1">
      <alignment horizontal="center"/>
    </xf>
    <xf numFmtId="165" fontId="0" fillId="0" borderId="0" xfId="0" applyNumberFormat="1"/>
    <xf numFmtId="0" fontId="6" fillId="0" borderId="0" xfId="0" applyFont="1" applyAlignment="1">
      <alignment horizontal="center"/>
    </xf>
    <xf numFmtId="9" fontId="0" fillId="2" borderId="0" xfId="0" applyNumberFormat="1" applyFill="1"/>
    <xf numFmtId="3" fontId="0" fillId="0" borderId="0" xfId="0" applyNumberFormat="1" applyBorder="1"/>
    <xf numFmtId="164" fontId="0" fillId="0" borderId="0" xfId="0" applyNumberFormat="1" applyBorder="1"/>
    <xf numFmtId="164" fontId="3" fillId="0" borderId="0" xfId="1" applyNumberFormat="1" applyFont="1" applyBorder="1"/>
    <xf numFmtId="164" fontId="5" fillId="0" borderId="0" xfId="1" applyNumberFormat="1" applyFont="1" applyBorder="1"/>
    <xf numFmtId="0" fontId="0" fillId="2" borderId="0" xfId="0" applyFill="1"/>
    <xf numFmtId="0" fontId="8" fillId="0" borderId="0" xfId="0" applyFont="1"/>
    <xf numFmtId="0" fontId="2" fillId="3" borderId="0" xfId="0" applyFont="1" applyFill="1"/>
    <xf numFmtId="0" fontId="0" fillId="3" borderId="0" xfId="0" applyFill="1"/>
    <xf numFmtId="0" fontId="10" fillId="4" borderId="0" xfId="0" applyFont="1" applyFill="1" applyAlignment="1">
      <alignment vertical="center" wrapText="1"/>
    </xf>
    <xf numFmtId="164" fontId="10" fillId="4" borderId="0" xfId="1" applyNumberFormat="1" applyFont="1" applyFill="1" applyAlignment="1">
      <alignment vertical="center"/>
    </xf>
    <xf numFmtId="9" fontId="3" fillId="0" borderId="0" xfId="0" applyNumberFormat="1" applyFont="1" applyFill="1"/>
    <xf numFmtId="165" fontId="0" fillId="5" borderId="0" xfId="0" applyNumberFormat="1" applyFill="1"/>
    <xf numFmtId="0" fontId="0" fillId="6" borderId="0" xfId="0" applyFill="1"/>
    <xf numFmtId="38" fontId="0" fillId="6" borderId="0" xfId="0" applyNumberFormat="1" applyFill="1"/>
    <xf numFmtId="164" fontId="0" fillId="6" borderId="0" xfId="0" applyNumberFormat="1" applyFill="1"/>
    <xf numFmtId="166" fontId="0" fillId="6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5FED6"/>
      <color rgb="FFFFFFBD"/>
      <color rgb="FFE9F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8982-9FF4-2A4D-8D4A-162DC6553D31}">
  <dimension ref="A2:Q57"/>
  <sheetViews>
    <sheetView tabSelected="1" workbookViewId="0">
      <selection activeCell="C16" sqref="C16"/>
    </sheetView>
  </sheetViews>
  <sheetFormatPr baseColWidth="10" defaultRowHeight="16"/>
  <cols>
    <col min="1" max="1" width="9.83203125" customWidth="1"/>
    <col min="2" max="2" width="32.33203125" customWidth="1"/>
    <col min="15" max="15" width="13" bestFit="1" customWidth="1"/>
  </cols>
  <sheetData>
    <row r="2" spans="1:12" ht="19" customHeight="1">
      <c r="B2" t="s">
        <v>50</v>
      </c>
    </row>
    <row r="3" spans="1:12">
      <c r="B3" t="s">
        <v>52</v>
      </c>
    </row>
    <row r="4" spans="1:12">
      <c r="B4" s="27" t="s">
        <v>51</v>
      </c>
      <c r="C4" s="27"/>
    </row>
    <row r="6" spans="1:12">
      <c r="A6" s="19" t="s">
        <v>34</v>
      </c>
      <c r="B6" s="29" t="s">
        <v>33</v>
      </c>
    </row>
    <row r="7" spans="1:12">
      <c r="B7" t="s">
        <v>32</v>
      </c>
      <c r="C7" s="1">
        <v>10000</v>
      </c>
    </row>
    <row r="8" spans="1:12">
      <c r="A8" s="22">
        <v>0.65</v>
      </c>
      <c r="B8" t="s">
        <v>41</v>
      </c>
      <c r="C8" s="1">
        <f>A8*C7</f>
        <v>6500</v>
      </c>
    </row>
    <row r="9" spans="1:12">
      <c r="B9" t="s">
        <v>31</v>
      </c>
      <c r="C9" s="1">
        <f>C7-C8</f>
        <v>3500</v>
      </c>
    </row>
    <row r="10" spans="1:12">
      <c r="A10" s="22">
        <v>0.18</v>
      </c>
      <c r="B10" t="s">
        <v>29</v>
      </c>
      <c r="C10">
        <f>0.18*C9</f>
        <v>630</v>
      </c>
      <c r="D10" s="28" t="s">
        <v>44</v>
      </c>
    </row>
    <row r="11" spans="1:12">
      <c r="B11" t="s">
        <v>0</v>
      </c>
      <c r="C11" s="18">
        <f>10000-C10</f>
        <v>9370</v>
      </c>
      <c r="G11" s="1"/>
    </row>
    <row r="12" spans="1:12" ht="8" customHeight="1">
      <c r="C12" s="23"/>
      <c r="G12" s="1"/>
    </row>
    <row r="13" spans="1:12">
      <c r="B13" s="29" t="s">
        <v>45</v>
      </c>
      <c r="C13" s="30"/>
      <c r="D13" s="30"/>
      <c r="E13" s="30"/>
      <c r="F13" s="30"/>
      <c r="G13" s="30"/>
    </row>
    <row r="14" spans="1:12">
      <c r="B14" s="7"/>
      <c r="C14" s="21">
        <v>1</v>
      </c>
      <c r="D14" s="21">
        <v>2</v>
      </c>
      <c r="E14" s="21">
        <v>3</v>
      </c>
      <c r="F14" s="21">
        <v>4</v>
      </c>
      <c r="G14" s="21">
        <v>5</v>
      </c>
      <c r="H14" s="21">
        <v>6</v>
      </c>
      <c r="I14" s="21">
        <v>7</v>
      </c>
      <c r="J14" s="21">
        <v>8</v>
      </c>
      <c r="K14" s="21">
        <v>9</v>
      </c>
      <c r="L14" s="21">
        <v>10</v>
      </c>
    </row>
    <row r="15" spans="1:12">
      <c r="B15" t="s">
        <v>48</v>
      </c>
      <c r="C15" s="3">
        <f>C11</f>
        <v>9370</v>
      </c>
      <c r="D15" s="3">
        <f>C21</f>
        <v>9992.1679999999997</v>
      </c>
      <c r="E15" s="3">
        <f>D21</f>
        <v>10655.6479552</v>
      </c>
      <c r="F15" s="3">
        <f>E21</f>
        <v>11363.182979425281</v>
      </c>
      <c r="G15" s="3">
        <f>F21</f>
        <v>12117.698329259119</v>
      </c>
      <c r="H15" s="3">
        <f t="shared" ref="H15:K15" si="0">G21</f>
        <v>12922.313498321924</v>
      </c>
      <c r="I15" s="3">
        <f t="shared" si="0"/>
        <v>13780.3551146105</v>
      </c>
      <c r="J15" s="3">
        <f t="shared" si="0"/>
        <v>14695.370694220637</v>
      </c>
      <c r="K15" s="3">
        <f t="shared" si="0"/>
        <v>15671.143308316887</v>
      </c>
      <c r="L15" s="3">
        <f>K21</f>
        <v>16711.707223989128</v>
      </c>
    </row>
    <row r="16" spans="1:12">
      <c r="A16" s="34">
        <v>0.02</v>
      </c>
      <c r="B16" t="s">
        <v>40</v>
      </c>
      <c r="C16" s="3">
        <f>$A$16*C15</f>
        <v>187.4</v>
      </c>
      <c r="D16" s="3">
        <f>$A$16*D15</f>
        <v>199.84335999999999</v>
      </c>
      <c r="E16" s="3">
        <f>$A$16*E15</f>
        <v>213.112959104</v>
      </c>
      <c r="F16" s="3">
        <f>$A$16*F15</f>
        <v>227.26365958850562</v>
      </c>
      <c r="G16" s="3">
        <f>$A$16*G15</f>
        <v>242.35396658518241</v>
      </c>
      <c r="H16" s="3">
        <f t="shared" ref="H16:K16" si="1">$A$16*H15</f>
        <v>258.44626996643848</v>
      </c>
      <c r="I16" s="3">
        <f t="shared" si="1"/>
        <v>275.60710229221002</v>
      </c>
      <c r="J16" s="3">
        <f t="shared" si="1"/>
        <v>293.90741388441273</v>
      </c>
      <c r="K16" s="3">
        <f t="shared" si="1"/>
        <v>313.42286616633777</v>
      </c>
      <c r="L16" s="3">
        <f>$A$16*L15</f>
        <v>334.23414447978257</v>
      </c>
    </row>
    <row r="17" spans="1:17">
      <c r="A17" s="33">
        <f>A10</f>
        <v>0.18</v>
      </c>
      <c r="B17" s="4" t="s">
        <v>9</v>
      </c>
      <c r="C17" s="5">
        <f>$A$17*C16</f>
        <v>33.731999999999999</v>
      </c>
      <c r="D17" s="5">
        <f>$A$17*D16</f>
        <v>35.971804799999994</v>
      </c>
      <c r="E17" s="5">
        <f>$A$17*E16</f>
        <v>38.360332638719996</v>
      </c>
      <c r="F17" s="5">
        <f>$A$17*F16</f>
        <v>40.907458725931008</v>
      </c>
      <c r="G17" s="5">
        <f>$A$17*G16</f>
        <v>43.623713985332834</v>
      </c>
      <c r="H17" s="5">
        <f t="shared" ref="H17:K17" si="2">$A$17*H16</f>
        <v>46.520328593958922</v>
      </c>
      <c r="I17" s="5">
        <f t="shared" si="2"/>
        <v>49.609278412597803</v>
      </c>
      <c r="J17" s="5">
        <f t="shared" si="2"/>
        <v>52.903334499194287</v>
      </c>
      <c r="K17" s="5">
        <f t="shared" si="2"/>
        <v>56.4161159099408</v>
      </c>
      <c r="L17" s="5">
        <f>$A$17*L16</f>
        <v>60.162146006360864</v>
      </c>
    </row>
    <row r="18" spans="1:17">
      <c r="A18" s="17"/>
      <c r="B18" s="15" t="s">
        <v>24</v>
      </c>
      <c r="C18" s="16">
        <f>C16-C17</f>
        <v>153.66800000000001</v>
      </c>
      <c r="D18" s="16">
        <f t="shared" ref="D18:F18" si="3">D16-D17</f>
        <v>163.87155519999999</v>
      </c>
      <c r="E18" s="16">
        <f t="shared" si="3"/>
        <v>174.75262646528</v>
      </c>
      <c r="F18" s="16">
        <f t="shared" si="3"/>
        <v>186.35620086257461</v>
      </c>
      <c r="G18" s="16">
        <f t="shared" ref="G18:K18" si="4">G16-G17</f>
        <v>198.73025259984956</v>
      </c>
      <c r="H18" s="16">
        <f t="shared" si="4"/>
        <v>211.92594137247954</v>
      </c>
      <c r="I18" s="16">
        <f t="shared" si="4"/>
        <v>225.99782387961221</v>
      </c>
      <c r="J18" s="16">
        <f t="shared" si="4"/>
        <v>241.00407938521846</v>
      </c>
      <c r="K18" s="16">
        <f t="shared" si="4"/>
        <v>257.00675025639697</v>
      </c>
      <c r="L18" s="16">
        <f t="shared" ref="L18" si="5">L16-L17</f>
        <v>274.07199847342173</v>
      </c>
    </row>
    <row r="19" spans="1:17">
      <c r="A19" s="34">
        <v>0.05</v>
      </c>
      <c r="B19" t="s">
        <v>10</v>
      </c>
      <c r="C19" s="3">
        <f>$A$19*C15</f>
        <v>468.5</v>
      </c>
      <c r="D19" s="3">
        <f>$A$19*D15</f>
        <v>499.60840000000002</v>
      </c>
      <c r="E19" s="3">
        <f>$A$19*E15</f>
        <v>532.78239775999998</v>
      </c>
      <c r="F19" s="3">
        <f>$A$19*F15</f>
        <v>568.15914897126402</v>
      </c>
      <c r="G19" s="3">
        <f>$A$19*G15</f>
        <v>605.88491646295597</v>
      </c>
      <c r="H19" s="3">
        <f t="shared" ref="H19:K19" si="6">$A$19*H15</f>
        <v>646.11567491609628</v>
      </c>
      <c r="I19" s="3">
        <f t="shared" si="6"/>
        <v>689.0177557305251</v>
      </c>
      <c r="J19" s="3">
        <f t="shared" si="6"/>
        <v>734.76853471103186</v>
      </c>
      <c r="K19" s="3">
        <f t="shared" si="6"/>
        <v>783.55716541584434</v>
      </c>
      <c r="L19" s="3">
        <f>$A$19*L15</f>
        <v>835.58536119945643</v>
      </c>
    </row>
    <row r="20" spans="1:17">
      <c r="B20" t="s">
        <v>25</v>
      </c>
      <c r="C20" s="6">
        <f>C16-C17+C19</f>
        <v>622.16800000000001</v>
      </c>
      <c r="D20" s="6">
        <f>D16-D17+D19</f>
        <v>663.47995519999995</v>
      </c>
      <c r="E20" s="6">
        <f>E16-E17+E19</f>
        <v>707.53502422528004</v>
      </c>
      <c r="F20" s="6">
        <f>F16-F17+F19</f>
        <v>754.51534983383863</v>
      </c>
      <c r="G20" s="6">
        <f>G16-G17+G19</f>
        <v>804.61516906280553</v>
      </c>
      <c r="H20" s="6">
        <f t="shared" ref="H20:K20" si="7">H16-H17+H19</f>
        <v>858.04161628857582</v>
      </c>
      <c r="I20" s="6">
        <f t="shared" si="7"/>
        <v>915.01557961013737</v>
      </c>
      <c r="J20" s="6">
        <f t="shared" si="7"/>
        <v>975.77261409625032</v>
      </c>
      <c r="K20" s="6">
        <f t="shared" si="7"/>
        <v>1040.5639156722414</v>
      </c>
      <c r="L20" s="6">
        <f>L16-L17+L19</f>
        <v>1109.6573596728781</v>
      </c>
    </row>
    <row r="21" spans="1:17">
      <c r="B21" t="s">
        <v>47</v>
      </c>
      <c r="C21" s="3">
        <f>C15+C20</f>
        <v>9992.1679999999997</v>
      </c>
      <c r="D21" s="3">
        <f>D15+D20</f>
        <v>10655.6479552</v>
      </c>
      <c r="E21" s="3">
        <f>E15+E20</f>
        <v>11363.182979425281</v>
      </c>
      <c r="F21" s="3">
        <f>F15+F20</f>
        <v>12117.698329259119</v>
      </c>
      <c r="G21" s="3">
        <f>G15+G20</f>
        <v>12922.313498321924</v>
      </c>
      <c r="H21" s="3">
        <f t="shared" ref="H21:K21" si="8">H15+H20</f>
        <v>13780.3551146105</v>
      </c>
      <c r="I21" s="3">
        <f t="shared" si="8"/>
        <v>14695.370694220637</v>
      </c>
      <c r="J21" s="3">
        <f t="shared" si="8"/>
        <v>15671.143308316887</v>
      </c>
      <c r="K21" s="3">
        <f t="shared" si="8"/>
        <v>16711.707223989128</v>
      </c>
      <c r="L21" s="3">
        <f>L15+L20</f>
        <v>17821.364583662005</v>
      </c>
    </row>
    <row r="22" spans="1:17" ht="21" customHeight="1">
      <c r="B22" t="s">
        <v>26</v>
      </c>
      <c r="C22" s="3">
        <f>C19</f>
        <v>468.5</v>
      </c>
      <c r="D22" s="3">
        <f>C22+D19</f>
        <v>968.10840000000007</v>
      </c>
      <c r="E22" s="3">
        <f t="shared" ref="E22:G22" si="9">D22+E19</f>
        <v>1500.8907977600002</v>
      </c>
      <c r="F22" s="3">
        <f t="shared" si="9"/>
        <v>2069.0499467312643</v>
      </c>
      <c r="G22" s="3">
        <f t="shared" si="9"/>
        <v>2674.9348631942203</v>
      </c>
      <c r="H22" s="3">
        <f t="shared" ref="H22" si="10">G22+H19</f>
        <v>3321.0505381103167</v>
      </c>
      <c r="I22" s="3">
        <f t="shared" ref="I22" si="11">H22+I19</f>
        <v>4010.0682938408418</v>
      </c>
      <c r="J22" s="3">
        <f t="shared" ref="J22" si="12">I22+J19</f>
        <v>4744.8368285518736</v>
      </c>
      <c r="K22" s="3">
        <f t="shared" ref="K22:L22" si="13">J22+K19</f>
        <v>5528.3939939677184</v>
      </c>
      <c r="L22" s="3">
        <f t="shared" si="13"/>
        <v>6363.9793551671746</v>
      </c>
    </row>
    <row r="23" spans="1:17" ht="17" customHeight="1">
      <c r="B23" t="s">
        <v>28</v>
      </c>
      <c r="C23" s="3">
        <f>0.18*C22</f>
        <v>84.33</v>
      </c>
      <c r="D23" s="3">
        <f>0.18*D22</f>
        <v>174.259512</v>
      </c>
      <c r="E23" s="3">
        <f>0.18*E22</f>
        <v>270.16034359680003</v>
      </c>
      <c r="F23" s="3">
        <f>0.18*F22</f>
        <v>372.42899041162758</v>
      </c>
      <c r="G23" s="3">
        <f>0.18*G22</f>
        <v>481.48827537495964</v>
      </c>
      <c r="H23" s="3">
        <f t="shared" ref="H23:K23" si="14">0.18*H22</f>
        <v>597.78909685985695</v>
      </c>
      <c r="I23" s="3">
        <f t="shared" si="14"/>
        <v>721.81229289135149</v>
      </c>
      <c r="J23" s="3">
        <f t="shared" si="14"/>
        <v>854.07062913933726</v>
      </c>
      <c r="K23" s="3">
        <f t="shared" si="14"/>
        <v>995.11091891418926</v>
      </c>
      <c r="L23" s="3">
        <f>0.18*L22</f>
        <v>1145.5162839300913</v>
      </c>
    </row>
    <row r="24" spans="1:17" ht="33" customHeight="1">
      <c r="B24" s="31" t="s">
        <v>55</v>
      </c>
      <c r="C24" s="32">
        <f>C21-C23</f>
        <v>9907.8379999999997</v>
      </c>
      <c r="D24" s="32">
        <f t="shared" ref="D24:F24" si="15">D21-D23</f>
        <v>10481.3884432</v>
      </c>
      <c r="E24" s="32">
        <f t="shared" si="15"/>
        <v>11093.02263582848</v>
      </c>
      <c r="F24" s="32">
        <f t="shared" si="15"/>
        <v>11745.269338847493</v>
      </c>
      <c r="G24" s="32">
        <f t="shared" ref="G24:K24" si="16">G21-G23</f>
        <v>12440.825222946965</v>
      </c>
      <c r="H24" s="32">
        <f t="shared" si="16"/>
        <v>13182.566017750643</v>
      </c>
      <c r="I24" s="32">
        <f t="shared" si="16"/>
        <v>13973.558401329286</v>
      </c>
      <c r="J24" s="32">
        <f t="shared" si="16"/>
        <v>14817.072679177549</v>
      </c>
      <c r="K24" s="32">
        <f t="shared" si="16"/>
        <v>15716.596305074938</v>
      </c>
      <c r="L24" s="32">
        <f t="shared" ref="L24" si="17">L21-L23</f>
        <v>16675.848299731915</v>
      </c>
    </row>
    <row r="25" spans="1:17" ht="8" customHeight="1"/>
    <row r="26" spans="1:17">
      <c r="A26" s="19" t="s">
        <v>35</v>
      </c>
      <c r="B26" s="30" t="s">
        <v>46</v>
      </c>
      <c r="C26" s="30"/>
      <c r="D26" s="30"/>
      <c r="E26" s="30"/>
      <c r="F26" s="30"/>
      <c r="G26" s="30"/>
      <c r="H26" s="30"/>
    </row>
    <row r="27" spans="1:17" ht="19" customHeight="1">
      <c r="B27" t="s">
        <v>49</v>
      </c>
      <c r="C27" s="3">
        <v>10000</v>
      </c>
      <c r="D27" s="3">
        <f>C35</f>
        <v>10584</v>
      </c>
      <c r="E27" s="3">
        <f t="shared" ref="E27:G27" si="18">D35</f>
        <v>11202.105600000001</v>
      </c>
      <c r="F27" s="3">
        <f t="shared" si="18"/>
        <v>11856.308567040001</v>
      </c>
      <c r="G27" s="3">
        <f t="shared" si="18"/>
        <v>12548.716987355137</v>
      </c>
      <c r="H27" s="3">
        <f t="shared" ref="H27" si="19">G35</f>
        <v>13281.562059416678</v>
      </c>
      <c r="I27" s="3">
        <f t="shared" ref="I27" si="20">H35</f>
        <v>14057.205283686611</v>
      </c>
      <c r="J27" s="3">
        <f t="shared" ref="J27" si="21">I35</f>
        <v>14878.146072253909</v>
      </c>
      <c r="K27" s="3">
        <f t="shared" ref="K27:L27" si="22">J35</f>
        <v>15747.029802873538</v>
      </c>
      <c r="L27" s="3">
        <f t="shared" si="22"/>
        <v>16666.656343361352</v>
      </c>
    </row>
    <row r="28" spans="1:17">
      <c r="A28" s="34">
        <v>0.02</v>
      </c>
      <c r="B28" t="s">
        <v>40</v>
      </c>
      <c r="C28" s="3">
        <f>$A$28*C27</f>
        <v>200</v>
      </c>
      <c r="D28" s="3">
        <f>$A$28*D27</f>
        <v>211.68</v>
      </c>
      <c r="E28" s="3">
        <f t="shared" ref="E28:F28" si="23">$A$28*E27</f>
        <v>224.04211200000003</v>
      </c>
      <c r="F28" s="3">
        <f t="shared" si="23"/>
        <v>237.12617134080003</v>
      </c>
      <c r="G28" s="3">
        <f t="shared" ref="G28:K28" si="24">$A$28*G27</f>
        <v>250.97433974710276</v>
      </c>
      <c r="H28" s="3">
        <f t="shared" si="24"/>
        <v>265.63124118833355</v>
      </c>
      <c r="I28" s="3">
        <f t="shared" si="24"/>
        <v>281.14410567373221</v>
      </c>
      <c r="J28" s="3">
        <f t="shared" si="24"/>
        <v>297.56292144507819</v>
      </c>
      <c r="K28" s="3">
        <f t="shared" si="24"/>
        <v>314.94059605747077</v>
      </c>
      <c r="L28" s="3">
        <f t="shared" ref="L28" si="25">$A$28*L27</f>
        <v>333.33312686722707</v>
      </c>
    </row>
    <row r="29" spans="1:17">
      <c r="A29" s="33">
        <f>A10</f>
        <v>0.18</v>
      </c>
      <c r="B29" s="4" t="s">
        <v>9</v>
      </c>
      <c r="C29" s="5">
        <f>$A$17*C28</f>
        <v>36</v>
      </c>
      <c r="D29" s="5">
        <f>$A$17*D28</f>
        <v>38.102400000000003</v>
      </c>
      <c r="E29" s="5">
        <f t="shared" ref="E29:F29" si="26">$A$17*E28</f>
        <v>40.327580160000004</v>
      </c>
      <c r="F29" s="5">
        <f t="shared" si="26"/>
        <v>42.682710841344004</v>
      </c>
      <c r="G29" s="5">
        <f t="shared" ref="G29:K29" si="27">$A$17*G28</f>
        <v>45.175381154478494</v>
      </c>
      <c r="H29" s="5">
        <f t="shared" si="27"/>
        <v>47.813623413900039</v>
      </c>
      <c r="I29" s="5">
        <f t="shared" si="27"/>
        <v>50.605939021271794</v>
      </c>
      <c r="J29" s="5">
        <f t="shared" si="27"/>
        <v>53.561325860114074</v>
      </c>
      <c r="K29" s="5">
        <f t="shared" si="27"/>
        <v>56.689307290344736</v>
      </c>
      <c r="L29" s="5">
        <f t="shared" ref="L29" si="28">$A$17*L28</f>
        <v>59.99996283610087</v>
      </c>
    </row>
    <row r="30" spans="1:17">
      <c r="A30" s="33"/>
      <c r="B30" s="15" t="s">
        <v>24</v>
      </c>
      <c r="C30" s="16">
        <f>C28-C29</f>
        <v>164</v>
      </c>
      <c r="D30" s="16">
        <f t="shared" ref="D30:L30" si="29">D28-D29</f>
        <v>173.57760000000002</v>
      </c>
      <c r="E30" s="16">
        <f t="shared" si="29"/>
        <v>183.71453184000003</v>
      </c>
      <c r="F30" s="16">
        <f t="shared" si="29"/>
        <v>194.44346049945602</v>
      </c>
      <c r="G30" s="16">
        <f t="shared" si="29"/>
        <v>205.79895859262427</v>
      </c>
      <c r="H30" s="16">
        <f t="shared" si="29"/>
        <v>217.8176177744335</v>
      </c>
      <c r="I30" s="16">
        <f t="shared" si="29"/>
        <v>230.5381666524604</v>
      </c>
      <c r="J30" s="16">
        <f t="shared" si="29"/>
        <v>244.00159558496412</v>
      </c>
      <c r="K30" s="16">
        <f t="shared" si="29"/>
        <v>258.25128876712603</v>
      </c>
      <c r="L30" s="16">
        <f t="shared" si="29"/>
        <v>273.33316403112622</v>
      </c>
    </row>
    <row r="31" spans="1:17">
      <c r="A31" s="34">
        <v>0</v>
      </c>
      <c r="B31" t="s">
        <v>7</v>
      </c>
      <c r="C31" s="3">
        <f t="shared" ref="C31:K31" si="30">$A$31*C27</f>
        <v>0</v>
      </c>
      <c r="D31" s="3">
        <f t="shared" si="30"/>
        <v>0</v>
      </c>
      <c r="E31" s="3">
        <f t="shared" si="30"/>
        <v>0</v>
      </c>
      <c r="F31" s="3">
        <f t="shared" si="30"/>
        <v>0</v>
      </c>
      <c r="G31" s="3">
        <f t="shared" si="30"/>
        <v>0</v>
      </c>
      <c r="H31" s="3">
        <f t="shared" si="30"/>
        <v>0</v>
      </c>
      <c r="I31" s="3">
        <f t="shared" si="30"/>
        <v>0</v>
      </c>
      <c r="J31" s="3">
        <f t="shared" si="30"/>
        <v>0</v>
      </c>
      <c r="K31" s="3">
        <f t="shared" si="30"/>
        <v>0</v>
      </c>
      <c r="L31" s="3">
        <f t="shared" ref="L31" si="31">$A$31*L27</f>
        <v>0</v>
      </c>
      <c r="O31" s="10"/>
      <c r="P31" s="10"/>
      <c r="Q31" s="11"/>
    </row>
    <row r="32" spans="1:17">
      <c r="A32" s="17">
        <f>A10</f>
        <v>0.18</v>
      </c>
      <c r="B32" s="4" t="s">
        <v>11</v>
      </c>
      <c r="C32" s="5">
        <f>$A$17*C31</f>
        <v>0</v>
      </c>
      <c r="D32" s="5">
        <f>$A$17*D31</f>
        <v>0</v>
      </c>
      <c r="E32" s="5">
        <f t="shared" ref="E32:F32" si="32">$A$17*E31</f>
        <v>0</v>
      </c>
      <c r="F32" s="5">
        <f t="shared" si="32"/>
        <v>0</v>
      </c>
      <c r="G32" s="5">
        <f t="shared" ref="G32:K32" si="33">$A$17*G31</f>
        <v>0</v>
      </c>
      <c r="H32" s="5">
        <f t="shared" si="33"/>
        <v>0</v>
      </c>
      <c r="I32" s="5">
        <f t="shared" si="33"/>
        <v>0</v>
      </c>
      <c r="J32" s="5">
        <f t="shared" si="33"/>
        <v>0</v>
      </c>
      <c r="K32" s="5">
        <f t="shared" si="33"/>
        <v>0</v>
      </c>
      <c r="L32" s="5">
        <f t="shared" ref="L32" si="34">$A$17*L31</f>
        <v>0</v>
      </c>
      <c r="O32" s="10"/>
      <c r="P32" s="10"/>
      <c r="Q32" s="11"/>
    </row>
    <row r="33" spans="1:17">
      <c r="A33" s="34">
        <v>4.2000000000000003E-2</v>
      </c>
      <c r="B33" t="s">
        <v>10</v>
      </c>
      <c r="C33" s="3">
        <f>$A$33*C27</f>
        <v>420</v>
      </c>
      <c r="D33" s="3">
        <f>$A$33*D27</f>
        <v>444.52800000000002</v>
      </c>
      <c r="E33" s="3">
        <f t="shared" ref="E33:F33" si="35">$A$33*E27</f>
        <v>470.48843520000008</v>
      </c>
      <c r="F33" s="3">
        <f t="shared" si="35"/>
        <v>497.96495981568012</v>
      </c>
      <c r="G33" s="3">
        <f t="shared" ref="G33:K33" si="36">$A$33*G27</f>
        <v>527.04611346891579</v>
      </c>
      <c r="H33" s="3">
        <f t="shared" si="36"/>
        <v>557.82560649550044</v>
      </c>
      <c r="I33" s="3">
        <f t="shared" si="36"/>
        <v>590.40262191483771</v>
      </c>
      <c r="J33" s="3">
        <f t="shared" si="36"/>
        <v>624.8821350346642</v>
      </c>
      <c r="K33" s="3">
        <f t="shared" si="36"/>
        <v>661.37525172068865</v>
      </c>
      <c r="L33" s="3">
        <f t="shared" ref="L33" si="37">$A$33*L27</f>
        <v>699.99956642117684</v>
      </c>
      <c r="O33" s="10"/>
      <c r="P33" s="10"/>
      <c r="Q33" s="11"/>
    </row>
    <row r="34" spans="1:17" ht="15" customHeight="1">
      <c r="B34" t="s">
        <v>4</v>
      </c>
      <c r="C34" s="6">
        <f>C28-C29-C32+C33</f>
        <v>584</v>
      </c>
      <c r="D34" s="6">
        <f>D28+D33-D29-D32</f>
        <v>618.10560000000009</v>
      </c>
      <c r="E34" s="6">
        <f t="shared" ref="E34:F34" si="38">E28+E33-E29-E32</f>
        <v>654.20296704000009</v>
      </c>
      <c r="F34" s="6">
        <f t="shared" si="38"/>
        <v>692.40842031513614</v>
      </c>
      <c r="G34" s="6">
        <f t="shared" ref="G34:K34" si="39">G28+G33-G29-G32</f>
        <v>732.84507206154001</v>
      </c>
      <c r="H34" s="6">
        <f t="shared" si="39"/>
        <v>775.64322426993397</v>
      </c>
      <c r="I34" s="6">
        <f t="shared" si="39"/>
        <v>820.94078856729811</v>
      </c>
      <c r="J34" s="6">
        <f t="shared" si="39"/>
        <v>868.8837306196283</v>
      </c>
      <c r="K34" s="6">
        <f t="shared" si="39"/>
        <v>919.62654048781474</v>
      </c>
      <c r="L34" s="6">
        <f t="shared" ref="L34" si="40">L28+L33-L29-L32</f>
        <v>973.33273045230294</v>
      </c>
      <c r="O34" s="10"/>
      <c r="P34" s="10"/>
      <c r="Q34" s="11"/>
    </row>
    <row r="35" spans="1:17">
      <c r="B35" t="s">
        <v>47</v>
      </c>
      <c r="C35" s="3">
        <f>C27+C34</f>
        <v>10584</v>
      </c>
      <c r="D35" s="3">
        <f>D27+D34</f>
        <v>11202.105600000001</v>
      </c>
      <c r="E35" s="3">
        <f>E27+E34</f>
        <v>11856.308567040001</v>
      </c>
      <c r="F35" s="3">
        <f>F27+F34</f>
        <v>12548.716987355137</v>
      </c>
      <c r="G35" s="3">
        <f>G27+G34</f>
        <v>13281.562059416678</v>
      </c>
      <c r="H35" s="3">
        <f t="shared" ref="H35:K35" si="41">H27+H34</f>
        <v>14057.205283686611</v>
      </c>
      <c r="I35" s="3">
        <f t="shared" si="41"/>
        <v>14878.146072253909</v>
      </c>
      <c r="J35" s="3">
        <f t="shared" si="41"/>
        <v>15747.029802873538</v>
      </c>
      <c r="K35" s="3">
        <f t="shared" si="41"/>
        <v>16666.656343361352</v>
      </c>
      <c r="L35" s="3">
        <f>L27+L34</f>
        <v>17639.989073813656</v>
      </c>
      <c r="P35" s="10"/>
      <c r="Q35" s="11"/>
    </row>
    <row r="36" spans="1:17" ht="20" customHeight="1">
      <c r="B36" t="s">
        <v>5</v>
      </c>
      <c r="C36" s="3">
        <f>C33-C31</f>
        <v>420</v>
      </c>
      <c r="D36" s="3">
        <f>D33-D31+C36</f>
        <v>864.52800000000002</v>
      </c>
      <c r="E36" s="3">
        <f>E33-E31+D36</f>
        <v>1335.0164352000002</v>
      </c>
      <c r="F36" s="3">
        <f>F33-F31+E36</f>
        <v>1832.9813950156804</v>
      </c>
      <c r="G36" s="3">
        <f>G33-G31+F36</f>
        <v>2360.0275084845962</v>
      </c>
      <c r="H36" s="3">
        <f t="shared" ref="H36:K36" si="42">H33-H31+G36</f>
        <v>2917.8531149800965</v>
      </c>
      <c r="I36" s="3">
        <f t="shared" si="42"/>
        <v>3508.2557368949342</v>
      </c>
      <c r="J36" s="3">
        <f t="shared" si="42"/>
        <v>4133.1378719295981</v>
      </c>
      <c r="K36" s="3">
        <f t="shared" si="42"/>
        <v>4794.5131236502866</v>
      </c>
      <c r="L36" s="3">
        <f>L33-L31+K36</f>
        <v>5494.5126900714631</v>
      </c>
      <c r="P36" s="10"/>
    </row>
    <row r="37" spans="1:17">
      <c r="B37" t="s">
        <v>42</v>
      </c>
      <c r="C37" s="3">
        <f>C9</f>
        <v>3500</v>
      </c>
      <c r="D37" s="3">
        <f>C37</f>
        <v>3500</v>
      </c>
      <c r="E37" s="3">
        <f t="shared" ref="E37:G37" si="43">D37</f>
        <v>3500</v>
      </c>
      <c r="F37" s="3">
        <f t="shared" si="43"/>
        <v>3500</v>
      </c>
      <c r="G37" s="3">
        <f t="shared" si="43"/>
        <v>3500</v>
      </c>
      <c r="H37" s="3">
        <f t="shared" ref="H37" si="44">G37</f>
        <v>3500</v>
      </c>
      <c r="I37" s="3">
        <f t="shared" ref="I37" si="45">H37</f>
        <v>3500</v>
      </c>
      <c r="J37" s="3">
        <f t="shared" ref="J37" si="46">I37</f>
        <v>3500</v>
      </c>
      <c r="K37" s="3">
        <f t="shared" ref="K37:L37" si="47">J37</f>
        <v>3500</v>
      </c>
      <c r="L37" s="3">
        <f t="shared" si="47"/>
        <v>3500</v>
      </c>
    </row>
    <row r="38" spans="1:17">
      <c r="A38" s="17">
        <f>A10</f>
        <v>0.18</v>
      </c>
      <c r="B38" t="s">
        <v>43</v>
      </c>
      <c r="C38" s="3">
        <f>$A$38*(C36+C37)</f>
        <v>705.6</v>
      </c>
      <c r="D38" s="3">
        <f t="shared" ref="D38:F38" si="48">$A$38*(D36+D37)</f>
        <v>785.61504000000002</v>
      </c>
      <c r="E38" s="3">
        <f t="shared" si="48"/>
        <v>870.30295833599996</v>
      </c>
      <c r="F38" s="3">
        <f t="shared" si="48"/>
        <v>959.93665110282245</v>
      </c>
      <c r="G38" s="3">
        <f t="shared" ref="G38:K38" si="49">$A$38*(G36+G37)</f>
        <v>1054.8049515272273</v>
      </c>
      <c r="H38" s="3">
        <f t="shared" si="49"/>
        <v>1155.2135606964173</v>
      </c>
      <c r="I38" s="3">
        <f t="shared" si="49"/>
        <v>1261.4860326410883</v>
      </c>
      <c r="J38" s="3">
        <f t="shared" si="49"/>
        <v>1373.9648169473276</v>
      </c>
      <c r="K38" s="3">
        <f t="shared" si="49"/>
        <v>1493.0123622570513</v>
      </c>
      <c r="L38" s="3">
        <f t="shared" ref="L38" si="50">$A$38*(L36+L37)</f>
        <v>1619.0122842128635</v>
      </c>
    </row>
    <row r="39" spans="1:17" ht="34">
      <c r="B39" s="31" t="s">
        <v>55</v>
      </c>
      <c r="C39" s="32">
        <f>C35-C38</f>
        <v>9878.4</v>
      </c>
      <c r="D39" s="32">
        <f>D35-D38</f>
        <v>10416.49056</v>
      </c>
      <c r="E39" s="32">
        <f>E35-E38</f>
        <v>10986.005608704001</v>
      </c>
      <c r="F39" s="32">
        <f>F35-F38</f>
        <v>11588.780336252315</v>
      </c>
      <c r="G39" s="32">
        <f>G35-G38</f>
        <v>12226.757107889451</v>
      </c>
      <c r="H39" s="32">
        <f t="shared" ref="H39:K39" si="51">H35-H38</f>
        <v>12901.991722990195</v>
      </c>
      <c r="I39" s="32">
        <f t="shared" si="51"/>
        <v>13616.66003961282</v>
      </c>
      <c r="J39" s="32">
        <f t="shared" si="51"/>
        <v>14373.06498592621</v>
      </c>
      <c r="K39" s="32">
        <f t="shared" si="51"/>
        <v>15173.6439811043</v>
      </c>
      <c r="L39" s="32">
        <f>L35-L38</f>
        <v>16020.976789600792</v>
      </c>
    </row>
    <row r="41" spans="1:17">
      <c r="B41" s="35" t="s">
        <v>53</v>
      </c>
      <c r="C41" s="36">
        <f>C24-C39</f>
        <v>29.438000000000102</v>
      </c>
      <c r="D41" s="37">
        <f t="shared" ref="D41:L41" si="52">D24-D39</f>
        <v>64.897883199999342</v>
      </c>
      <c r="E41" s="37">
        <f t="shared" si="52"/>
        <v>107.01702712447877</v>
      </c>
      <c r="F41" s="37">
        <f t="shared" si="52"/>
        <v>156.48900259517723</v>
      </c>
      <c r="G41" s="37">
        <f t="shared" si="52"/>
        <v>214.06811505751466</v>
      </c>
      <c r="H41" s="37">
        <f t="shared" si="52"/>
        <v>280.57429476044854</v>
      </c>
      <c r="I41" s="37">
        <f t="shared" si="52"/>
        <v>356.89836171646675</v>
      </c>
      <c r="J41" s="37">
        <f t="shared" si="52"/>
        <v>444.00769325133842</v>
      </c>
      <c r="K41" s="37">
        <f t="shared" si="52"/>
        <v>542.95232397063774</v>
      </c>
      <c r="L41" s="37">
        <f t="shared" si="52"/>
        <v>654.8715101311227</v>
      </c>
      <c r="O41" s="12"/>
    </row>
    <row r="42" spans="1:17">
      <c r="B42" s="35" t="s">
        <v>54</v>
      </c>
      <c r="C42" s="38">
        <f>C41/C39</f>
        <v>2.9800372529964472E-3</v>
      </c>
      <c r="D42" s="38">
        <f t="shared" ref="D42:L42" si="53">D41/D39</f>
        <v>6.2303021181828195E-3</v>
      </c>
      <c r="E42" s="38">
        <f t="shared" si="53"/>
        <v>9.7412135890128475E-3</v>
      </c>
      <c r="F42" s="38">
        <f t="shared" si="53"/>
        <v>1.3503492003006077E-2</v>
      </c>
      <c r="G42" s="38">
        <f t="shared" si="53"/>
        <v>1.7508167796952866E-2</v>
      </c>
      <c r="H42" s="38">
        <f t="shared" si="53"/>
        <v>2.1746587719513898E-2</v>
      </c>
      <c r="I42" s="38">
        <f t="shared" si="53"/>
        <v>2.6210418757477837E-2</v>
      </c>
      <c r="J42" s="38">
        <f t="shared" si="53"/>
        <v>3.0891650019400942E-2</v>
      </c>
      <c r="K42" s="38">
        <f t="shared" si="53"/>
        <v>3.5782592806762492E-2</v>
      </c>
      <c r="L42" s="38">
        <f t="shared" si="53"/>
        <v>4.0875879088483509E-2</v>
      </c>
    </row>
    <row r="43" spans="1:17">
      <c r="C43" s="24"/>
    </row>
    <row r="44" spans="1:17">
      <c r="C44" s="24"/>
    </row>
    <row r="45" spans="1:17">
      <c r="C45" s="14"/>
    </row>
    <row r="46" spans="1:17">
      <c r="B46" s="4"/>
      <c r="C46" s="25"/>
    </row>
    <row r="47" spans="1:17">
      <c r="B47" s="15"/>
      <c r="C47" s="26"/>
    </row>
    <row r="48" spans="1:17">
      <c r="C48" s="14"/>
    </row>
    <row r="49" spans="3:3">
      <c r="C49" s="14"/>
    </row>
    <row r="50" spans="3:3">
      <c r="C50" s="14"/>
    </row>
    <row r="51" spans="3:3">
      <c r="C51" s="14"/>
    </row>
    <row r="52" spans="3:3">
      <c r="C52" s="14"/>
    </row>
    <row r="53" spans="3:3">
      <c r="C53" s="14"/>
    </row>
    <row r="54" spans="3:3" ht="20" customHeight="1">
      <c r="C54" s="3"/>
    </row>
    <row r="55" spans="3:3">
      <c r="C55" s="3"/>
    </row>
    <row r="56" spans="3:3">
      <c r="C56" s="3"/>
    </row>
    <row r="57" spans="3:3">
      <c r="C57" s="9"/>
    </row>
  </sheetData>
  <pageMargins left="1" right="1" top="1" bottom="1" header="0.5" footer="0.5"/>
  <pageSetup scale="70" orientation="landscape" horizontalDpi="0" verticalDpi="0"/>
  <headerFooter>
    <oddHeader>&amp;C&amp;"Calibri,Regular"&amp;14&amp;K000000Time to breakeven 
if you sell an actively managed fund 
and buy an index fund</oddHeader>
  </headerFooter>
  <ignoredErrors>
    <ignoredError sqref="C31:F31 G31:L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FA8F-1D46-4A40-85FA-9850042C9562}">
  <dimension ref="A3:M53"/>
  <sheetViews>
    <sheetView workbookViewId="0">
      <selection activeCell="B11" sqref="B11"/>
    </sheetView>
  </sheetViews>
  <sheetFormatPr baseColWidth="10" defaultRowHeight="16"/>
  <cols>
    <col min="2" max="2" width="31.5" customWidth="1"/>
    <col min="10" max="10" width="13" bestFit="1" customWidth="1"/>
  </cols>
  <sheetData>
    <row r="3" spans="1:13">
      <c r="A3" s="19" t="s">
        <v>34</v>
      </c>
      <c r="B3" s="7" t="s">
        <v>36</v>
      </c>
    </row>
    <row r="4" spans="1:13">
      <c r="B4" t="s">
        <v>32</v>
      </c>
      <c r="C4" s="1">
        <v>10000</v>
      </c>
    </row>
    <row r="5" spans="1:13">
      <c r="A5" s="2">
        <v>0.6</v>
      </c>
      <c r="B5" t="s">
        <v>30</v>
      </c>
      <c r="C5" s="1">
        <f>A5*C4</f>
        <v>6000</v>
      </c>
    </row>
    <row r="6" spans="1:13">
      <c r="B6" t="s">
        <v>31</v>
      </c>
      <c r="C6" s="1">
        <f>C4-C5</f>
        <v>4000</v>
      </c>
    </row>
    <row r="7" spans="1:13">
      <c r="A7" s="2">
        <v>0.18</v>
      </c>
      <c r="B7" t="s">
        <v>29</v>
      </c>
      <c r="C7">
        <f>0.18*C6</f>
        <v>720</v>
      </c>
    </row>
    <row r="8" spans="1:13">
      <c r="B8" t="s">
        <v>0</v>
      </c>
      <c r="C8" s="18">
        <f>10000-C7</f>
        <v>9280</v>
      </c>
    </row>
    <row r="9" spans="1:13">
      <c r="B9" s="7" t="s">
        <v>37</v>
      </c>
      <c r="C9" s="23"/>
    </row>
    <row r="10" spans="1:13">
      <c r="B10" t="s">
        <v>39</v>
      </c>
      <c r="C10" s="23"/>
    </row>
    <row r="11" spans="1:13">
      <c r="C11" s="21">
        <v>1</v>
      </c>
      <c r="D11" s="21">
        <v>2</v>
      </c>
      <c r="E11" s="21">
        <v>3</v>
      </c>
      <c r="F11" s="21">
        <v>4</v>
      </c>
      <c r="G11" s="21">
        <v>5</v>
      </c>
      <c r="M11" t="s">
        <v>15</v>
      </c>
    </row>
    <row r="12" spans="1:13">
      <c r="B12" t="s">
        <v>1</v>
      </c>
      <c r="C12" s="3">
        <f>C8</f>
        <v>9280</v>
      </c>
      <c r="D12" s="3">
        <f>C18</f>
        <v>9912.8960000000006</v>
      </c>
      <c r="E12" s="3">
        <f>D18</f>
        <v>10588.9555072</v>
      </c>
      <c r="F12" s="3">
        <f>E18</f>
        <v>11311.122272791041</v>
      </c>
      <c r="G12" s="3">
        <f>F18</f>
        <v>12082.54081179539</v>
      </c>
      <c r="I12">
        <v>9100</v>
      </c>
      <c r="J12">
        <f>0.07*I12</f>
        <v>637.00000000000011</v>
      </c>
    </row>
    <row r="13" spans="1:13">
      <c r="A13" s="2">
        <v>0.01</v>
      </c>
      <c r="B13" t="s">
        <v>2</v>
      </c>
      <c r="C13" s="3">
        <f>$A$13*C12</f>
        <v>92.8</v>
      </c>
      <c r="D13" s="3">
        <f>$A$13*D12</f>
        <v>99.128960000000006</v>
      </c>
      <c r="E13" s="3">
        <f>$A$13*E12</f>
        <v>105.88955507200001</v>
      </c>
      <c r="F13" s="3">
        <f>$A$13*F12</f>
        <v>113.11122272791042</v>
      </c>
      <c r="G13" s="3">
        <f>$A$13*G12</f>
        <v>120.8254081179539</v>
      </c>
      <c r="I13">
        <v>10000</v>
      </c>
      <c r="J13">
        <f>0.06*I13</f>
        <v>600</v>
      </c>
    </row>
    <row r="14" spans="1:13">
      <c r="A14" s="17">
        <f>A7</f>
        <v>0.18</v>
      </c>
      <c r="B14" s="4" t="s">
        <v>9</v>
      </c>
      <c r="C14" s="5">
        <f>$A$14*C13</f>
        <v>16.704000000000001</v>
      </c>
      <c r="D14" s="5">
        <f>$A$14*D13</f>
        <v>17.8432128</v>
      </c>
      <c r="E14" s="5">
        <f>$A$14*E13</f>
        <v>19.060119912960001</v>
      </c>
      <c r="F14" s="5">
        <f>$A$14*F13</f>
        <v>20.360020091023873</v>
      </c>
      <c r="G14" s="5">
        <f>$A$14*G13</f>
        <v>21.7485734612317</v>
      </c>
    </row>
    <row r="15" spans="1:13">
      <c r="A15" s="17"/>
      <c r="B15" s="15" t="s">
        <v>24</v>
      </c>
      <c r="C15" s="16">
        <f>C13-C14</f>
        <v>76.096000000000004</v>
      </c>
      <c r="D15" s="16">
        <f t="shared" ref="D15:F15" si="0">D13-D14</f>
        <v>81.285747200000003</v>
      </c>
      <c r="E15" s="16">
        <f t="shared" si="0"/>
        <v>86.829435159040003</v>
      </c>
      <c r="F15" s="16">
        <f t="shared" si="0"/>
        <v>92.751202636886546</v>
      </c>
      <c r="G15" s="16">
        <f t="shared" ref="G15" si="1">G13-G14</f>
        <v>99.076834656722198</v>
      </c>
    </row>
    <row r="16" spans="1:13">
      <c r="A16" s="2">
        <f>0.07-A13</f>
        <v>6.0000000000000005E-2</v>
      </c>
      <c r="B16" t="s">
        <v>10</v>
      </c>
      <c r="C16" s="3">
        <f>$A$16*C12</f>
        <v>556.80000000000007</v>
      </c>
      <c r="D16" s="3">
        <f>$A$16*D12</f>
        <v>594.77376000000004</v>
      </c>
      <c r="E16" s="3">
        <f>$A$16*E12</f>
        <v>635.33733043200004</v>
      </c>
      <c r="F16" s="3">
        <f>$A$16*F12</f>
        <v>678.66733636746255</v>
      </c>
      <c r="G16" s="3">
        <f>$A$16*G12</f>
        <v>724.95244870772342</v>
      </c>
    </row>
    <row r="17" spans="1:12">
      <c r="B17" t="s">
        <v>25</v>
      </c>
      <c r="C17" s="6">
        <f>C13-C14+C16</f>
        <v>632.89600000000007</v>
      </c>
      <c r="D17" s="6">
        <f>D13-D14+D16</f>
        <v>676.0595072000001</v>
      </c>
      <c r="E17" s="6">
        <f>E13-E14+E16</f>
        <v>722.16676559104008</v>
      </c>
      <c r="F17" s="6">
        <f>F13-F14+F16</f>
        <v>771.4185390043491</v>
      </c>
      <c r="G17" s="6">
        <f>G13-G14+G16</f>
        <v>824.02928336444563</v>
      </c>
    </row>
    <row r="18" spans="1:12">
      <c r="B18" t="s">
        <v>27</v>
      </c>
      <c r="C18" s="3">
        <f>C12+C17</f>
        <v>9912.8960000000006</v>
      </c>
      <c r="D18" s="3">
        <f>D12+D17</f>
        <v>10588.9555072</v>
      </c>
      <c r="E18" s="3">
        <f>E12+E17</f>
        <v>11311.122272791041</v>
      </c>
      <c r="F18" s="3">
        <f>F12+F17</f>
        <v>12082.54081179539</v>
      </c>
      <c r="G18" s="3">
        <f>G12+G17</f>
        <v>12906.570095159836</v>
      </c>
    </row>
    <row r="19" spans="1:12" ht="21" customHeight="1">
      <c r="B19" t="s">
        <v>26</v>
      </c>
      <c r="C19" s="3">
        <f>C16</f>
        <v>556.80000000000007</v>
      </c>
      <c r="D19" s="3">
        <f>C19+D16</f>
        <v>1151.5737600000002</v>
      </c>
      <c r="E19" s="3">
        <f t="shared" ref="E19:G19" si="2">D19+E16</f>
        <v>1786.9110904320003</v>
      </c>
      <c r="F19" s="3">
        <f t="shared" si="2"/>
        <v>2465.5784267994627</v>
      </c>
      <c r="G19" s="3">
        <f t="shared" si="2"/>
        <v>3190.530875507186</v>
      </c>
    </row>
    <row r="20" spans="1:12">
      <c r="B20" t="s">
        <v>28</v>
      </c>
      <c r="C20" s="3">
        <f>0.18*C19</f>
        <v>100.224</v>
      </c>
      <c r="D20" s="3">
        <f>0.18*D19</f>
        <v>207.28327680000004</v>
      </c>
      <c r="E20" s="3">
        <f>0.18*E19</f>
        <v>321.64399627776004</v>
      </c>
      <c r="F20" s="3">
        <f>0.18*F19</f>
        <v>443.80411682390326</v>
      </c>
      <c r="G20" s="3">
        <f>0.18*G19</f>
        <v>574.29555759129346</v>
      </c>
    </row>
    <row r="21" spans="1:12">
      <c r="B21" s="8" t="s">
        <v>21</v>
      </c>
      <c r="C21" s="9">
        <f>C18-C20</f>
        <v>9812.6720000000005</v>
      </c>
      <c r="D21" s="9">
        <f t="shared" ref="D21:F21" si="3">D18-D20</f>
        <v>10381.6722304</v>
      </c>
      <c r="E21" s="9">
        <f t="shared" si="3"/>
        <v>10989.47827651328</v>
      </c>
      <c r="F21" s="9">
        <f t="shared" si="3"/>
        <v>11638.736694971487</v>
      </c>
      <c r="G21" s="9">
        <f t="shared" ref="G21" si="4">G18-G20</f>
        <v>12332.274537568543</v>
      </c>
    </row>
    <row r="23" spans="1:12">
      <c r="A23" s="19" t="s">
        <v>35</v>
      </c>
      <c r="B23" t="s">
        <v>38</v>
      </c>
    </row>
    <row r="24" spans="1:12">
      <c r="B24" t="s">
        <v>1</v>
      </c>
      <c r="C24" s="3">
        <v>10000</v>
      </c>
      <c r="D24" s="3">
        <f>C31</f>
        <v>10596</v>
      </c>
      <c r="E24" s="3">
        <f t="shared" ref="E24:G24" si="5">D31</f>
        <v>11227.5216</v>
      </c>
      <c r="F24" s="3">
        <f t="shared" si="5"/>
        <v>11896.68188736</v>
      </c>
      <c r="G24" s="3">
        <f t="shared" si="5"/>
        <v>12605.724127846657</v>
      </c>
    </row>
    <row r="25" spans="1:12">
      <c r="A25" s="2">
        <v>0.01</v>
      </c>
      <c r="B25" t="s">
        <v>2</v>
      </c>
      <c r="C25" s="3">
        <f>$A$25*C24</f>
        <v>100</v>
      </c>
      <c r="D25" s="3">
        <f>$A$25*D24</f>
        <v>105.96000000000001</v>
      </c>
      <c r="E25" s="3">
        <f t="shared" ref="E25:F25" si="6">$A$25*E24</f>
        <v>112.275216</v>
      </c>
      <c r="F25" s="3">
        <f t="shared" si="6"/>
        <v>118.9668188736</v>
      </c>
      <c r="G25" s="3">
        <f t="shared" ref="G25" si="7">$A$25*G24</f>
        <v>126.05724127846658</v>
      </c>
    </row>
    <row r="26" spans="1:12">
      <c r="A26" s="2">
        <f>A7</f>
        <v>0.18</v>
      </c>
      <c r="B26" s="4" t="s">
        <v>9</v>
      </c>
      <c r="C26" s="5">
        <f>$A$14*C25</f>
        <v>18</v>
      </c>
      <c r="D26" s="5">
        <f>$A$14*D25</f>
        <v>19.072800000000001</v>
      </c>
      <c r="E26" s="5">
        <f t="shared" ref="E26:F26" si="8">$A$14*E25</f>
        <v>20.20953888</v>
      </c>
      <c r="F26" s="5">
        <f t="shared" si="8"/>
        <v>21.414027397247999</v>
      </c>
      <c r="G26" s="5">
        <f t="shared" ref="G26" si="9">$A$14*G25</f>
        <v>22.690303430123983</v>
      </c>
      <c r="J26" t="s">
        <v>13</v>
      </c>
    </row>
    <row r="27" spans="1:12">
      <c r="A27" s="2">
        <v>0.02</v>
      </c>
      <c r="B27" t="s">
        <v>7</v>
      </c>
      <c r="C27" s="3">
        <f>$A$27*C24</f>
        <v>200</v>
      </c>
      <c r="D27" s="3">
        <f>$A$27*D24</f>
        <v>211.92000000000002</v>
      </c>
      <c r="E27" s="3">
        <f t="shared" ref="E27:F27" si="10">$A$27*E24</f>
        <v>224.550432</v>
      </c>
      <c r="F27" s="3">
        <f t="shared" si="10"/>
        <v>237.93363774720001</v>
      </c>
      <c r="G27" s="3">
        <f t="shared" ref="G27" si="11">$A$27*G24</f>
        <v>252.11448255693315</v>
      </c>
      <c r="I27">
        <v>2019</v>
      </c>
      <c r="J27" s="10">
        <v>0</v>
      </c>
      <c r="K27" s="10">
        <f>1.3662/19.61</f>
        <v>6.9668536460989292E-2</v>
      </c>
      <c r="L27" s="11">
        <f>K27</f>
        <v>6.9668536460989292E-2</v>
      </c>
    </row>
    <row r="28" spans="1:12">
      <c r="A28" s="2">
        <f>A7</f>
        <v>0.18</v>
      </c>
      <c r="B28" s="4" t="s">
        <v>11</v>
      </c>
      <c r="C28" s="5">
        <f>$A$14*C27</f>
        <v>36</v>
      </c>
      <c r="D28" s="5">
        <f>$A$14*D27</f>
        <v>38.145600000000002</v>
      </c>
      <c r="E28" s="5">
        <f t="shared" ref="E28:F28" si="12">$A$14*E27</f>
        <v>40.41907776</v>
      </c>
      <c r="F28" s="5">
        <f t="shared" si="12"/>
        <v>42.828054794495998</v>
      </c>
      <c r="G28" s="5">
        <f t="shared" ref="G28" si="13">$A$14*G27</f>
        <v>45.380606860247966</v>
      </c>
      <c r="I28">
        <v>2018</v>
      </c>
      <c r="J28" s="10">
        <f>0.0896/17.6</f>
        <v>5.0909090909090904E-3</v>
      </c>
      <c r="K28" s="10">
        <f>3.1355/17.6</f>
        <v>0.17815340909090907</v>
      </c>
      <c r="L28" s="11">
        <f>K28+L27</f>
        <v>0.24782194555189835</v>
      </c>
    </row>
    <row r="29" spans="1:12">
      <c r="A29" s="20">
        <v>5.5E-2</v>
      </c>
      <c r="B29" t="s">
        <v>10</v>
      </c>
      <c r="C29" s="3">
        <f>$A$29*C24</f>
        <v>550</v>
      </c>
      <c r="D29" s="3">
        <f>$A$29*D24</f>
        <v>582.78</v>
      </c>
      <c r="E29" s="3">
        <f t="shared" ref="E29:F29" si="14">$A$29*E24</f>
        <v>617.513688</v>
      </c>
      <c r="F29" s="3">
        <f t="shared" si="14"/>
        <v>654.31750380480003</v>
      </c>
      <c r="G29" s="3">
        <f t="shared" ref="G29" si="15">$A$29*G24</f>
        <v>693.3148270315661</v>
      </c>
      <c r="I29">
        <v>2017</v>
      </c>
      <c r="J29" s="10">
        <f>0.2173/21.39</f>
        <v>1.015895278167368E-2</v>
      </c>
      <c r="K29" s="10">
        <f>1.6074/21.39</f>
        <v>7.5147265077138842E-2</v>
      </c>
      <c r="L29" s="11">
        <f t="shared" ref="L29:L31" si="16">K29+L28</f>
        <v>0.32296921062903716</v>
      </c>
    </row>
    <row r="30" spans="1:12" ht="15" customHeight="1">
      <c r="B30" t="s">
        <v>4</v>
      </c>
      <c r="C30" s="6">
        <f>C25+C29-C26-C28</f>
        <v>596</v>
      </c>
      <c r="D30" s="6">
        <f>D25+D29-D26-D28</f>
        <v>631.52160000000003</v>
      </c>
      <c r="E30" s="6">
        <f t="shared" ref="E30:F30" si="17">E25+E29-E26-E28</f>
        <v>669.16028735999998</v>
      </c>
      <c r="F30" s="6">
        <f t="shared" si="17"/>
        <v>709.04224048665606</v>
      </c>
      <c r="G30" s="6">
        <f t="shared" ref="G30" si="18">G25+G29-G26-G28</f>
        <v>751.30115801966065</v>
      </c>
      <c r="I30">
        <v>2016</v>
      </c>
      <c r="J30" s="10">
        <v>0</v>
      </c>
      <c r="K30" s="10">
        <f>1.2457/19.96</f>
        <v>6.2409819639278559E-2</v>
      </c>
      <c r="L30" s="11">
        <f t="shared" si="16"/>
        <v>0.38537903026831571</v>
      </c>
    </row>
    <row r="31" spans="1:12">
      <c r="B31" t="s">
        <v>27</v>
      </c>
      <c r="C31" s="3">
        <f>C24+C30</f>
        <v>10596</v>
      </c>
      <c r="D31" s="3">
        <f>D24+D30</f>
        <v>11227.5216</v>
      </c>
      <c r="E31" s="3">
        <f>E24+E30</f>
        <v>11896.68188736</v>
      </c>
      <c r="F31" s="3">
        <f>F24+F30</f>
        <v>12605.724127846657</v>
      </c>
      <c r="G31" s="3">
        <f>G24+G30</f>
        <v>13357.025285866317</v>
      </c>
      <c r="I31">
        <v>2015</v>
      </c>
      <c r="K31" s="10">
        <f>1.6769/18.23</f>
        <v>9.1985737794843661E-2</v>
      </c>
      <c r="L31" s="11">
        <f t="shared" si="16"/>
        <v>0.47736476806315936</v>
      </c>
    </row>
    <row r="32" spans="1:12" ht="20" customHeight="1">
      <c r="B32" t="s">
        <v>5</v>
      </c>
      <c r="C32" s="3">
        <f>C29-C27</f>
        <v>350</v>
      </c>
      <c r="D32" s="3">
        <f>D29-D27+C32</f>
        <v>720.8599999999999</v>
      </c>
      <c r="E32" s="3">
        <f>E29-E27+D32</f>
        <v>1113.8232559999999</v>
      </c>
      <c r="F32" s="3">
        <f>F29-F27+E32</f>
        <v>1530.2071220575999</v>
      </c>
      <c r="G32" s="3">
        <f>G29-G27+F32</f>
        <v>1971.4074665322328</v>
      </c>
      <c r="I32">
        <v>2014</v>
      </c>
      <c r="K32" s="10">
        <f>-1.9457/21.34</f>
        <v>-9.1176194939081537E-2</v>
      </c>
    </row>
    <row r="33" spans="1:11">
      <c r="B33" t="s">
        <v>8</v>
      </c>
      <c r="C33" s="3">
        <f>C6</f>
        <v>4000</v>
      </c>
      <c r="D33" s="3">
        <f>C33</f>
        <v>4000</v>
      </c>
      <c r="E33" s="3">
        <f t="shared" ref="E33:G33" si="19">D33</f>
        <v>4000</v>
      </c>
      <c r="F33" s="3">
        <f t="shared" si="19"/>
        <v>4000</v>
      </c>
      <c r="G33" s="3">
        <f t="shared" si="19"/>
        <v>4000</v>
      </c>
    </row>
    <row r="34" spans="1:11">
      <c r="A34" s="2">
        <f>A7</f>
        <v>0.18</v>
      </c>
      <c r="B34" t="s">
        <v>28</v>
      </c>
      <c r="C34" s="3">
        <f>$A$34*(C32+C33)</f>
        <v>783</v>
      </c>
      <c r="D34" s="3">
        <f t="shared" ref="D34:F34" si="20">$A$34*(D32+D33)</f>
        <v>849.75479999999993</v>
      </c>
      <c r="E34" s="3">
        <f t="shared" si="20"/>
        <v>920.48818607999988</v>
      </c>
      <c r="F34" s="3">
        <f t="shared" si="20"/>
        <v>995.43728197036796</v>
      </c>
      <c r="G34" s="3">
        <f t="shared" ref="G34" si="21">$A$34*(G32+G33)</f>
        <v>1074.8533439758019</v>
      </c>
      <c r="K34" t="s">
        <v>14</v>
      </c>
    </row>
    <row r="35" spans="1:11">
      <c r="B35" s="8" t="s">
        <v>6</v>
      </c>
      <c r="C35" s="9">
        <f>C31-C34</f>
        <v>9813</v>
      </c>
      <c r="D35" s="9">
        <f>D31-D34</f>
        <v>10377.766799999999</v>
      </c>
      <c r="E35" s="9">
        <f>E31-E34</f>
        <v>10976.193701280001</v>
      </c>
      <c r="F35" s="9">
        <f>F31-F34</f>
        <v>11610.28684587629</v>
      </c>
      <c r="G35" s="9">
        <f>G31-G34</f>
        <v>12282.171941890516</v>
      </c>
    </row>
    <row r="37" spans="1:11">
      <c r="J37" s="12">
        <f>4500000000*0.08%</f>
        <v>3600000</v>
      </c>
    </row>
    <row r="38" spans="1:11">
      <c r="B38" t="s">
        <v>12</v>
      </c>
    </row>
    <row r="39" spans="1:11">
      <c r="B39" t="s">
        <v>16</v>
      </c>
      <c r="C39" s="13">
        <f>C12</f>
        <v>9280</v>
      </c>
    </row>
    <row r="40" spans="1:11">
      <c r="B40" t="s">
        <v>22</v>
      </c>
      <c r="C40" s="13">
        <f>C39</f>
        <v>9280</v>
      </c>
    </row>
    <row r="41" spans="1:11">
      <c r="B41" t="s">
        <v>2</v>
      </c>
      <c r="C41" s="3">
        <f>$A$13*C40</f>
        <v>92.8</v>
      </c>
    </row>
    <row r="42" spans="1:11">
      <c r="B42" s="4" t="s">
        <v>9</v>
      </c>
      <c r="C42" s="5">
        <f>$A$14*C41</f>
        <v>16.704000000000001</v>
      </c>
    </row>
    <row r="43" spans="1:11">
      <c r="B43" s="15" t="s">
        <v>23</v>
      </c>
      <c r="C43" s="16">
        <f>C41-C42</f>
        <v>76.096000000000004</v>
      </c>
    </row>
    <row r="44" spans="1:11">
      <c r="B44" t="s">
        <v>10</v>
      </c>
      <c r="C44" s="3">
        <f>$A$16*C40</f>
        <v>556.80000000000007</v>
      </c>
    </row>
    <row r="45" spans="1:11">
      <c r="B45" t="s">
        <v>4</v>
      </c>
      <c r="C45" s="6">
        <f>C41-C42+C44</f>
        <v>632.89600000000007</v>
      </c>
    </row>
    <row r="46" spans="1:11">
      <c r="B46" t="s">
        <v>18</v>
      </c>
      <c r="C46" s="14">
        <f>C39+C45</f>
        <v>9912.8960000000006</v>
      </c>
    </row>
    <row r="47" spans="1:11">
      <c r="C47" s="14"/>
    </row>
    <row r="48" spans="1:11">
      <c r="B48" t="s">
        <v>17</v>
      </c>
      <c r="C48" s="14">
        <f>C46</f>
        <v>9912.8960000000006</v>
      </c>
    </row>
    <row r="49" spans="2:3">
      <c r="B49" t="s">
        <v>19</v>
      </c>
      <c r="C49" s="14">
        <f>C39+C41</f>
        <v>9372.7999999999993</v>
      </c>
    </row>
    <row r="50" spans="2:3" ht="20" customHeight="1">
      <c r="B50" t="s">
        <v>20</v>
      </c>
      <c r="C50" s="3">
        <f>C48-C49</f>
        <v>540.09600000000137</v>
      </c>
    </row>
    <row r="51" spans="2:3">
      <c r="B51" t="s">
        <v>3</v>
      </c>
      <c r="C51" s="3">
        <f>0.18*C50</f>
        <v>97.217280000000244</v>
      </c>
    </row>
    <row r="52" spans="2:3">
      <c r="B52" t="s">
        <v>21</v>
      </c>
      <c r="C52" s="3">
        <f>C48-C51</f>
        <v>9815.6787199999999</v>
      </c>
    </row>
    <row r="53" spans="2:3">
      <c r="C5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Canfield</dc:creator>
  <cp:lastModifiedBy>Thomas Canfield</cp:lastModifiedBy>
  <cp:lastPrinted>2020-04-22T21:15:25Z</cp:lastPrinted>
  <dcterms:created xsi:type="dcterms:W3CDTF">2020-03-03T12:08:14Z</dcterms:created>
  <dcterms:modified xsi:type="dcterms:W3CDTF">2020-04-22T21:15:34Z</dcterms:modified>
</cp:coreProperties>
</file>